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D:\AFS (PREGÃO)\PRE\2025\PROCESSOS\PROCESSOS ENVIO\Proecesso 101 - CC 002 - BASE SAMU\"/>
    </mc:Choice>
  </mc:AlternateContent>
  <xr:revisionPtr revIDLastSave="0" documentId="13_ncr:1_{AEE7B21B-5ADB-4D15-8478-1548E8B0B014}" xr6:coauthVersionLast="47" xr6:coauthVersionMax="47" xr10:uidLastSave="{00000000-0000-0000-0000-000000000000}"/>
  <bookViews>
    <workbookView xWindow="-120" yWindow="-120" windowWidth="24240" windowHeight="13140" activeTab="2" xr2:uid="{00000000-000D-0000-FFFF-FFFF00000000}"/>
  </bookViews>
  <sheets>
    <sheet name="PLAN ORÇ" sheetId="6" r:id="rId1"/>
    <sheet name="MM CALC" sheetId="21" r:id="rId2"/>
    <sheet name="CRON" sheetId="7" r:id="rId3"/>
  </sheets>
  <externalReferences>
    <externalReference r:id="rId4"/>
  </externalReferences>
  <definedNames>
    <definedName name="_xlnm._FilterDatabase" localSheetId="2" hidden="1">CRON!$A$8:$L$8</definedName>
    <definedName name="_xlnm._FilterDatabase" localSheetId="1" hidden="1">'MM CALC'!$A$7:$G$168</definedName>
    <definedName name="_xlnm._FilterDatabase" localSheetId="0" hidden="1">'PLAN ORÇ'!$A$11:$I$153</definedName>
    <definedName name="_xlnm.Print_Area" localSheetId="2">CRON!$A$1:$J$43</definedName>
    <definedName name="_xlnm.Print_Area" localSheetId="0">'PLAN ORÇ'!$A$1:$I$179</definedName>
    <definedName name="_xlnm.Database">TEXT([1]Dados!$G$29,"mm-aaaa")</definedName>
    <definedName name="Fonte" localSheetId="1">'MM CALC'!#REF!</definedName>
    <definedName name="Fonte">'PLAN ORÇ'!$I1</definedName>
    <definedName name="nao" localSheetId="1">#REF!</definedName>
    <definedName name="nao">#REF!</definedName>
    <definedName name="_xlnm.Print_Titles" localSheetId="1">'MM CALC'!$1:$8</definedName>
    <definedName name="_xlnm.Print_Titles" localSheetId="0">'PLAN ORÇ'!$1:$10</definedName>
  </definedNames>
  <calcPr calcId="191029"/>
</workbook>
</file>

<file path=xl/calcChain.xml><?xml version="1.0" encoding="utf-8"?>
<calcChain xmlns="http://schemas.openxmlformats.org/spreadsheetml/2006/main">
  <c r="J6" i="7" l="1"/>
  <c r="F102" i="21"/>
  <c r="F64" i="21"/>
  <c r="F54" i="21"/>
  <c r="F58" i="6" s="1"/>
  <c r="E58" i="6"/>
  <c r="D58" i="6"/>
  <c r="C58" i="6"/>
  <c r="B58" i="6"/>
  <c r="A58" i="6"/>
  <c r="F16" i="6"/>
  <c r="F17" i="6"/>
  <c r="F18" i="6"/>
  <c r="F19" i="6"/>
  <c r="F20" i="6"/>
  <c r="F21" i="6"/>
  <c r="F22" i="6"/>
  <c r="F23" i="6"/>
  <c r="F24" i="6"/>
  <c r="D24" i="6"/>
  <c r="E16" i="6"/>
  <c r="E17" i="6"/>
  <c r="E18" i="6"/>
  <c r="E19" i="6"/>
  <c r="E20" i="6"/>
  <c r="E21" i="6"/>
  <c r="E22" i="6"/>
  <c r="E23" i="6"/>
  <c r="E24" i="6"/>
  <c r="D16" i="6"/>
  <c r="D17" i="6"/>
  <c r="D18" i="6"/>
  <c r="D19" i="6"/>
  <c r="D20" i="6"/>
  <c r="D21" i="6"/>
  <c r="D22" i="6"/>
  <c r="D23" i="6"/>
  <c r="C16" i="6"/>
  <c r="C17" i="6"/>
  <c r="C18" i="6"/>
  <c r="C19" i="6"/>
  <c r="C20" i="6"/>
  <c r="C21" i="6"/>
  <c r="C22" i="6"/>
  <c r="C23" i="6"/>
  <c r="C24" i="6"/>
  <c r="B16" i="6"/>
  <c r="B17" i="6"/>
  <c r="B18" i="6"/>
  <c r="B19" i="6"/>
  <c r="B20" i="6"/>
  <c r="B21" i="6"/>
  <c r="B22" i="6"/>
  <c r="B23" i="6"/>
  <c r="B24" i="6"/>
  <c r="E72" i="6"/>
  <c r="E73" i="6"/>
  <c r="D71" i="6"/>
  <c r="D72" i="6"/>
  <c r="D73" i="6"/>
  <c r="C71" i="6"/>
  <c r="C72" i="6"/>
  <c r="C73" i="6"/>
  <c r="C74" i="6"/>
  <c r="C75" i="6"/>
  <c r="B71" i="6"/>
  <c r="B72" i="6"/>
  <c r="B73" i="6"/>
  <c r="B74" i="6"/>
  <c r="B75" i="6"/>
  <c r="A71" i="6"/>
  <c r="A72" i="6"/>
  <c r="A73" i="6"/>
  <c r="A74" i="6"/>
  <c r="A75" i="6"/>
  <c r="F60" i="21"/>
  <c r="F67" i="6"/>
  <c r="E67" i="6"/>
  <c r="D67" i="6"/>
  <c r="D68" i="6"/>
  <c r="C67" i="6"/>
  <c r="C68" i="6"/>
  <c r="B67" i="6"/>
  <c r="B68" i="6"/>
  <c r="A67" i="6"/>
  <c r="A68" i="6"/>
  <c r="F62" i="21"/>
  <c r="F57" i="21"/>
  <c r="A27" i="6" l="1"/>
  <c r="A28" i="6"/>
  <c r="C85" i="6"/>
  <c r="D85" i="6"/>
  <c r="F10" i="21"/>
  <c r="C14" i="6"/>
  <c r="D14" i="6"/>
  <c r="B9" i="7" l="1"/>
  <c r="F41" i="21" l="1"/>
  <c r="F40" i="21"/>
  <c r="F37" i="21"/>
  <c r="F36" i="21"/>
  <c r="F31" i="21"/>
  <c r="F27" i="21"/>
  <c r="F26" i="21"/>
  <c r="F147" i="6"/>
  <c r="F148" i="6"/>
  <c r="F149" i="6"/>
  <c r="E147" i="6"/>
  <c r="E148" i="6"/>
  <c r="E149" i="6"/>
  <c r="D147" i="6"/>
  <c r="D148" i="6"/>
  <c r="D149" i="6"/>
  <c r="C147" i="6"/>
  <c r="C148" i="6"/>
  <c r="C149" i="6"/>
  <c r="B147" i="6"/>
  <c r="B148" i="6"/>
  <c r="B149" i="6"/>
  <c r="A151" i="6"/>
  <c r="B151" i="6"/>
  <c r="C151" i="6"/>
  <c r="D151" i="6"/>
  <c r="E151" i="6"/>
  <c r="F151" i="6"/>
  <c r="F150" i="6"/>
  <c r="E150" i="6"/>
  <c r="D150" i="6"/>
  <c r="C150" i="6"/>
  <c r="B150" i="6"/>
  <c r="A150" i="6"/>
  <c r="A148" i="6"/>
  <c r="A149" i="6"/>
  <c r="F133" i="21"/>
  <c r="F126" i="6"/>
  <c r="E126" i="6"/>
  <c r="D126" i="6"/>
  <c r="C126" i="6"/>
  <c r="B126" i="6"/>
  <c r="A126" i="6"/>
  <c r="F112" i="6"/>
  <c r="E112" i="6"/>
  <c r="D112" i="6"/>
  <c r="C112" i="6"/>
  <c r="B112" i="6"/>
  <c r="A112" i="6"/>
  <c r="F88" i="21"/>
  <c r="F87" i="21"/>
  <c r="F86" i="21"/>
  <c r="F85" i="21"/>
  <c r="F142" i="21"/>
  <c r="F141" i="21"/>
  <c r="F82" i="21"/>
  <c r="F81" i="21"/>
  <c r="F79" i="21"/>
  <c r="F77" i="21"/>
  <c r="F76" i="21"/>
  <c r="F75" i="21"/>
  <c r="F73" i="21"/>
  <c r="F74" i="21" s="1"/>
  <c r="F44" i="21"/>
  <c r="F52" i="21" s="1"/>
  <c r="F61" i="21"/>
  <c r="F59" i="21"/>
  <c r="F58" i="21" l="1"/>
  <c r="F56" i="21"/>
  <c r="F53" i="21"/>
  <c r="F50" i="21"/>
  <c r="F49" i="21"/>
  <c r="F45" i="21"/>
  <c r="F32" i="21"/>
  <c r="F33" i="21"/>
  <c r="F28" i="21" s="1"/>
  <c r="F24" i="21"/>
  <c r="E91" i="6"/>
  <c r="D91" i="6"/>
  <c r="C91" i="6"/>
  <c r="B91" i="6"/>
  <c r="A91" i="6"/>
  <c r="A92" i="6"/>
  <c r="A93" i="6"/>
  <c r="A94" i="6"/>
  <c r="A95" i="6"/>
  <c r="A96" i="6"/>
  <c r="A97" i="6"/>
  <c r="A98" i="6"/>
  <c r="A99" i="6"/>
  <c r="A100" i="6"/>
  <c r="A101" i="6"/>
  <c r="A102" i="6"/>
  <c r="A103" i="6"/>
  <c r="A104" i="6"/>
  <c r="A105" i="6"/>
  <c r="A106" i="6"/>
  <c r="F91" i="6"/>
  <c r="F26" i="6"/>
  <c r="F140" i="6"/>
  <c r="F141" i="6"/>
  <c r="F142" i="6"/>
  <c r="E140" i="6"/>
  <c r="E141" i="6"/>
  <c r="E142" i="6"/>
  <c r="D140" i="6"/>
  <c r="D141" i="6"/>
  <c r="D142" i="6"/>
  <c r="C140" i="6"/>
  <c r="C141" i="6"/>
  <c r="C142" i="6"/>
  <c r="B140" i="6"/>
  <c r="B141" i="6"/>
  <c r="B142" i="6"/>
  <c r="A140" i="6"/>
  <c r="A141" i="6"/>
  <c r="A142" i="6"/>
  <c r="F106" i="6"/>
  <c r="E106" i="6"/>
  <c r="B106" i="6"/>
  <c r="F57" i="6" l="1"/>
  <c r="F68" i="21"/>
  <c r="F71" i="21" l="1"/>
  <c r="F69" i="21"/>
  <c r="F73" i="6" s="1"/>
  <c r="F153" i="6"/>
  <c r="F154" i="6"/>
  <c r="F155" i="6"/>
  <c r="F156" i="6"/>
  <c r="F157" i="6"/>
  <c r="F158" i="6"/>
  <c r="F159" i="6"/>
  <c r="F160" i="6"/>
  <c r="F162" i="6"/>
  <c r="F163" i="6"/>
  <c r="F164" i="6"/>
  <c r="F165" i="6"/>
  <c r="F166" i="6"/>
  <c r="F167" i="6"/>
  <c r="F168" i="6"/>
  <c r="F170" i="6"/>
  <c r="E153" i="6"/>
  <c r="E154" i="6"/>
  <c r="E155" i="6"/>
  <c r="E156" i="6"/>
  <c r="E157" i="6"/>
  <c r="E158" i="6"/>
  <c r="E159" i="6"/>
  <c r="E160" i="6"/>
  <c r="E162" i="6"/>
  <c r="E163" i="6"/>
  <c r="E164" i="6"/>
  <c r="E165" i="6"/>
  <c r="E166" i="6"/>
  <c r="E167" i="6"/>
  <c r="E168" i="6"/>
  <c r="E170" i="6"/>
  <c r="F14" i="6"/>
  <c r="F15" i="6"/>
  <c r="E27" i="6"/>
  <c r="E28" i="6"/>
  <c r="E26" i="6"/>
  <c r="E14" i="6"/>
  <c r="E15" i="6"/>
  <c r="D15" i="6"/>
  <c r="D25" i="6"/>
  <c r="D26" i="6"/>
  <c r="D27" i="6"/>
  <c r="D28" i="6"/>
  <c r="D152" i="6"/>
  <c r="B27" i="7" s="1"/>
  <c r="D154" i="6"/>
  <c r="D155" i="6"/>
  <c r="D156" i="6"/>
  <c r="D157" i="6"/>
  <c r="D158" i="6"/>
  <c r="D160" i="6"/>
  <c r="D161" i="6"/>
  <c r="B29" i="7" s="1"/>
  <c r="D162" i="6"/>
  <c r="D163" i="6"/>
  <c r="D164" i="6"/>
  <c r="D165" i="6"/>
  <c r="D166" i="6"/>
  <c r="D167" i="6"/>
  <c r="D168" i="6"/>
  <c r="D169" i="6"/>
  <c r="B31" i="7" s="1"/>
  <c r="D170" i="6"/>
  <c r="C163" i="6"/>
  <c r="C164" i="6"/>
  <c r="C165" i="6"/>
  <c r="C166" i="6"/>
  <c r="C167" i="6"/>
  <c r="C168" i="6"/>
  <c r="C170" i="6"/>
  <c r="C154" i="6"/>
  <c r="C155" i="6"/>
  <c r="C156" i="6"/>
  <c r="C157" i="6"/>
  <c r="C158" i="6"/>
  <c r="C160" i="6"/>
  <c r="C162" i="6"/>
  <c r="C27" i="6"/>
  <c r="C28" i="6"/>
  <c r="C26" i="6"/>
  <c r="C15" i="6"/>
  <c r="B170" i="6"/>
  <c r="B163" i="6"/>
  <c r="B164" i="6"/>
  <c r="B165" i="6"/>
  <c r="B166" i="6"/>
  <c r="B167" i="6"/>
  <c r="B168" i="6"/>
  <c r="B162" i="6"/>
  <c r="B154" i="6"/>
  <c r="B155" i="6"/>
  <c r="B156" i="6"/>
  <c r="B157" i="6"/>
  <c r="B158" i="6"/>
  <c r="B159" i="6"/>
  <c r="B160" i="6"/>
  <c r="B153" i="6"/>
  <c r="B14" i="6"/>
  <c r="B15" i="6"/>
  <c r="B26" i="6"/>
  <c r="B27" i="6"/>
  <c r="B28" i="6"/>
  <c r="B30" i="6"/>
  <c r="B31" i="6"/>
  <c r="B32" i="6"/>
  <c r="B35" i="6"/>
  <c r="B36" i="6"/>
  <c r="B37" i="6"/>
  <c r="B38" i="6"/>
  <c r="B40" i="6"/>
  <c r="B41" i="6"/>
  <c r="B42" i="6"/>
  <c r="B44" i="6"/>
  <c r="B45" i="6"/>
  <c r="B46" i="6"/>
  <c r="B48" i="6"/>
  <c r="B49" i="6"/>
  <c r="B50" i="6"/>
  <c r="B53" i="6"/>
  <c r="B54" i="6"/>
  <c r="B55" i="6"/>
  <c r="B56" i="6"/>
  <c r="B57" i="6"/>
  <c r="B60" i="6"/>
  <c r="B61" i="6"/>
  <c r="B62" i="6"/>
  <c r="B63" i="6"/>
  <c r="B64" i="6"/>
  <c r="B65" i="6"/>
  <c r="B66" i="6"/>
  <c r="B70" i="6"/>
  <c r="B77" i="6"/>
  <c r="B78" i="6"/>
  <c r="B79" i="6"/>
  <c r="B80" i="6"/>
  <c r="B81" i="6"/>
  <c r="B82" i="6"/>
  <c r="B83" i="6"/>
  <c r="B85" i="6"/>
  <c r="B86" i="6"/>
  <c r="B88" i="6"/>
  <c r="B89" i="6"/>
  <c r="B90" i="6"/>
  <c r="B92" i="6"/>
  <c r="B93" i="6"/>
  <c r="B94" i="6"/>
  <c r="B95" i="6"/>
  <c r="B96" i="6"/>
  <c r="B97" i="6"/>
  <c r="B98" i="6"/>
  <c r="B99" i="6"/>
  <c r="B100" i="6"/>
  <c r="B101" i="6"/>
  <c r="B102" i="6"/>
  <c r="B103" i="6"/>
  <c r="B104" i="6"/>
  <c r="B105" i="6"/>
  <c r="B108" i="6"/>
  <c r="B109" i="6"/>
  <c r="B110" i="6"/>
  <c r="B111" i="6"/>
  <c r="B113" i="6"/>
  <c r="B114" i="6"/>
  <c r="B115" i="6"/>
  <c r="B116" i="6"/>
  <c r="B117" i="6"/>
  <c r="B118" i="6"/>
  <c r="B119" i="6"/>
  <c r="B120" i="6"/>
  <c r="B122" i="6"/>
  <c r="B123" i="6"/>
  <c r="B124" i="6"/>
  <c r="B125" i="6"/>
  <c r="B127" i="6"/>
  <c r="B128" i="6"/>
  <c r="B129" i="6"/>
  <c r="B130" i="6"/>
  <c r="B131" i="6"/>
  <c r="B132" i="6"/>
  <c r="B133" i="6"/>
  <c r="B134" i="6"/>
  <c r="B135" i="6"/>
  <c r="B136" i="6"/>
  <c r="B137" i="6"/>
  <c r="B138" i="6"/>
  <c r="B139" i="6"/>
  <c r="B144" i="6"/>
  <c r="B145" i="6"/>
  <c r="A169" i="6"/>
  <c r="A31" i="7" s="1"/>
  <c r="A170" i="6"/>
  <c r="A25" i="6"/>
  <c r="A26"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9" i="6"/>
  <c r="A60" i="6"/>
  <c r="A61" i="6"/>
  <c r="A62" i="6"/>
  <c r="A63" i="6"/>
  <c r="A64" i="6"/>
  <c r="A65" i="6"/>
  <c r="A66" i="6"/>
  <c r="A69" i="6"/>
  <c r="A70" i="6"/>
  <c r="A76" i="6"/>
  <c r="A77" i="6"/>
  <c r="A78" i="6"/>
  <c r="A79" i="6"/>
  <c r="A80" i="6"/>
  <c r="A81" i="6"/>
  <c r="A82" i="6"/>
  <c r="A83" i="6"/>
  <c r="A84" i="6"/>
  <c r="A85" i="6"/>
  <c r="A86" i="6"/>
  <c r="A87" i="6"/>
  <c r="A88" i="6"/>
  <c r="A89" i="6"/>
  <c r="A90" i="6"/>
  <c r="A107" i="6"/>
  <c r="A108" i="6"/>
  <c r="A109" i="6"/>
  <c r="A110" i="6"/>
  <c r="A111" i="6"/>
  <c r="A113" i="6"/>
  <c r="A114" i="6"/>
  <c r="A115" i="6"/>
  <c r="A116" i="6"/>
  <c r="A117" i="6"/>
  <c r="A118" i="6"/>
  <c r="A119" i="6"/>
  <c r="A120" i="6"/>
  <c r="A121" i="6"/>
  <c r="A122" i="6"/>
  <c r="A123" i="6"/>
  <c r="A124" i="6"/>
  <c r="A125" i="6"/>
  <c r="A127" i="6"/>
  <c r="A128" i="6"/>
  <c r="A129" i="6"/>
  <c r="A130" i="6"/>
  <c r="A131" i="6"/>
  <c r="A132" i="6"/>
  <c r="A133" i="6"/>
  <c r="A134" i="6"/>
  <c r="A135" i="6"/>
  <c r="A136" i="6"/>
  <c r="A137" i="6"/>
  <c r="A138" i="6"/>
  <c r="A139" i="6"/>
  <c r="A143" i="6"/>
  <c r="A144" i="6"/>
  <c r="A145" i="6"/>
  <c r="A146" i="6"/>
  <c r="A147" i="6"/>
  <c r="A152" i="6"/>
  <c r="A27" i="7" s="1"/>
  <c r="A153" i="6"/>
  <c r="A154" i="6"/>
  <c r="A155" i="6"/>
  <c r="A156" i="6"/>
  <c r="A157" i="6"/>
  <c r="A158" i="6"/>
  <c r="A159" i="6"/>
  <c r="A160" i="6"/>
  <c r="A161" i="6"/>
  <c r="A29" i="7" s="1"/>
  <c r="A162" i="6"/>
  <c r="A163" i="6"/>
  <c r="A164" i="6"/>
  <c r="A165" i="6"/>
  <c r="A166" i="6"/>
  <c r="A167" i="6"/>
  <c r="A168" i="6"/>
  <c r="A13" i="6"/>
  <c r="A9" i="7" s="1"/>
  <c r="F28" i="6" l="1"/>
  <c r="C32" i="7"/>
  <c r="C26" i="7" l="1"/>
  <c r="C28" i="7"/>
  <c r="C30" i="7"/>
  <c r="D145" i="6" l="1"/>
  <c r="F123" i="6"/>
  <c r="F124" i="6"/>
  <c r="F125" i="6"/>
  <c r="F127" i="6"/>
  <c r="F128" i="6"/>
  <c r="F129" i="6"/>
  <c r="F130" i="6"/>
  <c r="F131" i="6"/>
  <c r="F132" i="6"/>
  <c r="F133" i="6"/>
  <c r="F134" i="6"/>
  <c r="F135" i="6"/>
  <c r="F137" i="6"/>
  <c r="F138" i="6"/>
  <c r="F139" i="6"/>
  <c r="E123" i="6"/>
  <c r="E124" i="6"/>
  <c r="E125" i="6"/>
  <c r="E127" i="6"/>
  <c r="E128" i="6"/>
  <c r="E129" i="6"/>
  <c r="E130" i="6"/>
  <c r="E131" i="6"/>
  <c r="E132" i="6"/>
  <c r="E133" i="6"/>
  <c r="E134" i="6"/>
  <c r="E135" i="6"/>
  <c r="E136" i="6"/>
  <c r="E137" i="6"/>
  <c r="E138" i="6"/>
  <c r="E139" i="6"/>
  <c r="D123" i="6"/>
  <c r="D124" i="6"/>
  <c r="D125" i="6"/>
  <c r="D127" i="6"/>
  <c r="D128" i="6"/>
  <c r="D129" i="6"/>
  <c r="D130" i="6"/>
  <c r="D131" i="6"/>
  <c r="D132" i="6"/>
  <c r="D133" i="6"/>
  <c r="D134" i="6"/>
  <c r="D135" i="6"/>
  <c r="D136" i="6"/>
  <c r="D137" i="6"/>
  <c r="D138" i="6"/>
  <c r="D139" i="6"/>
  <c r="C123" i="6"/>
  <c r="C124" i="6"/>
  <c r="C125" i="6"/>
  <c r="C127" i="6"/>
  <c r="C128" i="6"/>
  <c r="C129" i="6"/>
  <c r="C130" i="6"/>
  <c r="C131" i="6"/>
  <c r="C132" i="6"/>
  <c r="C133" i="6"/>
  <c r="C134" i="6"/>
  <c r="C135" i="6"/>
  <c r="C136" i="6"/>
  <c r="C137" i="6"/>
  <c r="C138" i="6"/>
  <c r="C139" i="6"/>
  <c r="F109" i="6"/>
  <c r="F110" i="6"/>
  <c r="F111" i="6"/>
  <c r="F113" i="6"/>
  <c r="F114" i="6"/>
  <c r="F115" i="6"/>
  <c r="F116" i="6"/>
  <c r="F117" i="6"/>
  <c r="F118" i="6"/>
  <c r="F120" i="6"/>
  <c r="E109" i="6"/>
  <c r="E110" i="6"/>
  <c r="E111" i="6"/>
  <c r="E113" i="6"/>
  <c r="E114" i="6"/>
  <c r="E115" i="6"/>
  <c r="E116" i="6"/>
  <c r="E117" i="6"/>
  <c r="E118" i="6"/>
  <c r="E119" i="6"/>
  <c r="E120" i="6"/>
  <c r="D109" i="6"/>
  <c r="D110" i="6"/>
  <c r="D111" i="6"/>
  <c r="D118" i="6"/>
  <c r="D120" i="6"/>
  <c r="C109" i="6"/>
  <c r="C110" i="6"/>
  <c r="C111" i="6"/>
  <c r="C118" i="6"/>
  <c r="C120" i="6"/>
  <c r="F104" i="6"/>
  <c r="F105" i="6"/>
  <c r="E104" i="6"/>
  <c r="E105" i="6"/>
  <c r="D104" i="6"/>
  <c r="D105" i="6"/>
  <c r="C104" i="6"/>
  <c r="C105" i="6"/>
  <c r="D88" i="6"/>
  <c r="D89" i="6"/>
  <c r="D90" i="6"/>
  <c r="D92" i="6"/>
  <c r="D93" i="6"/>
  <c r="D94" i="6"/>
  <c r="D95" i="6"/>
  <c r="D96" i="6"/>
  <c r="D97" i="6"/>
  <c r="D98" i="6"/>
  <c r="D99" i="6"/>
  <c r="D100" i="6"/>
  <c r="D101" i="6"/>
  <c r="D102" i="6"/>
  <c r="D103" i="6"/>
  <c r="F88" i="6"/>
  <c r="F93" i="6"/>
  <c r="F94" i="6"/>
  <c r="F95" i="6"/>
  <c r="F96" i="6"/>
  <c r="F97" i="6"/>
  <c r="F98" i="6"/>
  <c r="F99" i="6"/>
  <c r="F100" i="6"/>
  <c r="F101" i="6"/>
  <c r="F102" i="6"/>
  <c r="F103" i="6"/>
  <c r="E88" i="6"/>
  <c r="E89" i="6"/>
  <c r="E90" i="6"/>
  <c r="E92" i="6"/>
  <c r="E93" i="6"/>
  <c r="E94" i="6"/>
  <c r="E95" i="6"/>
  <c r="E96" i="6"/>
  <c r="E97" i="6"/>
  <c r="E98" i="6"/>
  <c r="E99" i="6"/>
  <c r="E100" i="6"/>
  <c r="E101" i="6"/>
  <c r="E102" i="6"/>
  <c r="E103" i="6"/>
  <c r="C88" i="6"/>
  <c r="C89" i="6"/>
  <c r="C90" i="6"/>
  <c r="C92" i="6"/>
  <c r="C93" i="6"/>
  <c r="C94" i="6"/>
  <c r="C95" i="6"/>
  <c r="C96" i="6"/>
  <c r="C97" i="6"/>
  <c r="C98" i="6"/>
  <c r="C99" i="6"/>
  <c r="C100" i="6"/>
  <c r="C101" i="6"/>
  <c r="C102" i="6"/>
  <c r="C103" i="6"/>
  <c r="E77" i="6"/>
  <c r="D77" i="6"/>
  <c r="C77" i="6"/>
  <c r="E49" i="6"/>
  <c r="D49" i="6"/>
  <c r="C49" i="6"/>
  <c r="F136" i="6"/>
  <c r="F92" i="6"/>
  <c r="F90" i="6"/>
  <c r="F89" i="6"/>
  <c r="F77" i="6"/>
  <c r="E5" i="6" l="1"/>
  <c r="F30" i="6"/>
  <c r="E36" i="6" l="1"/>
  <c r="A23" i="7" l="1"/>
  <c r="D143" i="6"/>
  <c r="B23" i="7" s="1"/>
  <c r="C144" i="6"/>
  <c r="D144" i="6"/>
  <c r="E144" i="6"/>
  <c r="F144" i="6"/>
  <c r="C145" i="6"/>
  <c r="E145" i="6"/>
  <c r="F145" i="6"/>
  <c r="E31" i="6" l="1"/>
  <c r="C24" i="7" l="1"/>
  <c r="C50" i="6"/>
  <c r="D50" i="6"/>
  <c r="E50" i="6"/>
  <c r="F46" i="21" l="1"/>
  <c r="F50" i="6" l="1"/>
  <c r="F34" i="21" l="1"/>
  <c r="F38" i="21"/>
  <c r="F42" i="21" l="1"/>
  <c r="C70" i="6"/>
  <c r="D70" i="6"/>
  <c r="E70" i="6"/>
  <c r="F72" i="6"/>
  <c r="E42" i="6" l="1"/>
  <c r="C41" i="6"/>
  <c r="D41" i="6"/>
  <c r="E41" i="6"/>
  <c r="F41" i="6"/>
  <c r="D35" i="6" l="1"/>
  <c r="F62" i="6" l="1"/>
  <c r="C61" i="6"/>
  <c r="D61" i="6"/>
  <c r="E61" i="6"/>
  <c r="C62" i="6"/>
  <c r="D62" i="6"/>
  <c r="E62" i="6"/>
  <c r="C63" i="6"/>
  <c r="D63" i="6"/>
  <c r="E63" i="6"/>
  <c r="C64" i="6"/>
  <c r="D64" i="6"/>
  <c r="E64" i="6"/>
  <c r="C65" i="6"/>
  <c r="D65" i="6"/>
  <c r="E65" i="6"/>
  <c r="C66" i="6"/>
  <c r="D66" i="6"/>
  <c r="E66" i="6"/>
  <c r="E68" i="6"/>
  <c r="F61" i="6"/>
  <c r="A5" i="7" l="1"/>
  <c r="A6" i="7"/>
  <c r="C82" i="6"/>
  <c r="D82" i="6"/>
  <c r="E82" i="6"/>
  <c r="F82" i="6"/>
  <c r="D75" i="6" l="1"/>
  <c r="E75" i="6"/>
  <c r="E54" i="6" l="1"/>
  <c r="F31" i="6" l="1"/>
  <c r="F35" i="6"/>
  <c r="F36" i="6"/>
  <c r="F37" i="6"/>
  <c r="F38" i="6"/>
  <c r="F54" i="6"/>
  <c r="F108" i="6"/>
  <c r="F122" i="6"/>
  <c r="E85" i="6"/>
  <c r="A6" i="6"/>
  <c r="C22" i="7" l="1"/>
  <c r="F83" i="6"/>
  <c r="E122" i="6"/>
  <c r="F68" i="6" l="1"/>
  <c r="F66" i="6"/>
  <c r="C20" i="7" l="1"/>
  <c r="F85" i="6" l="1"/>
  <c r="F80" i="6"/>
  <c r="F79" i="6" l="1"/>
  <c r="F78" i="6"/>
  <c r="F75" i="6"/>
  <c r="F56" i="6"/>
  <c r="F53" i="6"/>
  <c r="F49" i="6"/>
  <c r="F48" i="6"/>
  <c r="F44" i="6"/>
  <c r="F46" i="6" l="1"/>
  <c r="F45" i="6"/>
  <c r="F42" i="6" l="1"/>
  <c r="F32" i="6"/>
  <c r="I29" i="6" s="1"/>
  <c r="C14" i="7" s="1"/>
  <c r="F40" i="6"/>
  <c r="A13" i="7"/>
  <c r="C30" i="6"/>
  <c r="C31" i="6"/>
  <c r="C32" i="6"/>
  <c r="A15" i="7"/>
  <c r="C35" i="6"/>
  <c r="C36" i="6"/>
  <c r="C37" i="6"/>
  <c r="C38" i="6"/>
  <c r="C40" i="6"/>
  <c r="C42" i="6"/>
  <c r="C44" i="6"/>
  <c r="C45" i="6"/>
  <c r="C46" i="6"/>
  <c r="C48" i="6"/>
  <c r="A17" i="7"/>
  <c r="C53" i="6"/>
  <c r="C54" i="6"/>
  <c r="C55" i="6"/>
  <c r="C56" i="6"/>
  <c r="C57" i="6"/>
  <c r="C60" i="6"/>
  <c r="C78" i="6"/>
  <c r="C79" i="6"/>
  <c r="C80" i="6"/>
  <c r="C81" i="6"/>
  <c r="C83" i="6"/>
  <c r="C86" i="6"/>
  <c r="A19" i="7"/>
  <c r="C108" i="6"/>
  <c r="A21" i="7"/>
  <c r="C122" i="6"/>
  <c r="A25" i="7"/>
  <c r="F86" i="6"/>
  <c r="F81" i="6"/>
  <c r="F60" i="6"/>
  <c r="F51" i="21"/>
  <c r="F66" i="21" s="1"/>
  <c r="F70" i="21" l="1"/>
  <c r="F67" i="21"/>
  <c r="F71" i="6" s="1"/>
  <c r="C16" i="7"/>
  <c r="F64" i="6"/>
  <c r="F63" i="6"/>
  <c r="F65" i="6"/>
  <c r="F55" i="6"/>
  <c r="D122" i="6"/>
  <c r="D121" i="6"/>
  <c r="B21" i="7" s="1"/>
  <c r="D80" i="6"/>
  <c r="E80" i="6"/>
  <c r="D81" i="6"/>
  <c r="E81" i="6"/>
  <c r="D83" i="6"/>
  <c r="E83" i="6"/>
  <c r="D84" i="6"/>
  <c r="D51" i="6"/>
  <c r="B17" i="7" s="1"/>
  <c r="D52" i="6"/>
  <c r="D53" i="6"/>
  <c r="E53" i="6"/>
  <c r="D40" i="6"/>
  <c r="E40" i="6"/>
  <c r="A11" i="7"/>
  <c r="B11" i="7"/>
  <c r="F74" i="6" l="1"/>
  <c r="F70" i="6"/>
  <c r="C18" i="7" l="1"/>
  <c r="D31" i="6"/>
  <c r="D29" i="6" l="1"/>
  <c r="B13" i="7" s="1"/>
  <c r="D30" i="6"/>
  <c r="E30" i="6"/>
  <c r="D32" i="6"/>
  <c r="E32" i="6"/>
  <c r="D33" i="6"/>
  <c r="B15" i="7" s="1"/>
  <c r="D34" i="6"/>
  <c r="E35" i="6"/>
  <c r="D36" i="6"/>
  <c r="D37" i="6"/>
  <c r="E37" i="6"/>
  <c r="D38" i="6"/>
  <c r="E38" i="6"/>
  <c r="D39" i="6"/>
  <c r="D42" i="6"/>
  <c r="D43" i="6"/>
  <c r="D44" i="6"/>
  <c r="E44" i="6"/>
  <c r="D45" i="6"/>
  <c r="E45" i="6"/>
  <c r="D46" i="6"/>
  <c r="E46" i="6"/>
  <c r="D47" i="6"/>
  <c r="D48" i="6"/>
  <c r="E48" i="6"/>
  <c r="D54" i="6"/>
  <c r="D55" i="6"/>
  <c r="E55" i="6"/>
  <c r="D56" i="6"/>
  <c r="E56" i="6"/>
  <c r="D57" i="6"/>
  <c r="E57" i="6"/>
  <c r="D59" i="6"/>
  <c r="D60" i="6"/>
  <c r="E60" i="6"/>
  <c r="D69" i="6"/>
  <c r="D74" i="6"/>
  <c r="E74" i="6"/>
  <c r="D76" i="6"/>
  <c r="D78" i="6"/>
  <c r="E78" i="6"/>
  <c r="D79" i="6"/>
  <c r="E79" i="6"/>
  <c r="D86" i="6"/>
  <c r="E86" i="6"/>
  <c r="D87" i="6"/>
  <c r="D107" i="6"/>
  <c r="B19" i="7" s="1"/>
  <c r="D108" i="6"/>
  <c r="E108" i="6"/>
  <c r="B25" i="7"/>
  <c r="F27" i="6" l="1"/>
  <c r="A7" i="6"/>
  <c r="A5" i="6"/>
  <c r="A7" i="7"/>
  <c r="C12" i="7" l="1"/>
  <c r="I12" i="6" l="1"/>
  <c r="C10" i="7"/>
  <c r="I171" i="6"/>
  <c r="F6" i="7" s="1"/>
  <c r="C34" i="7" l="1"/>
  <c r="C21" i="7" l="1"/>
  <c r="C17" i="7"/>
  <c r="C25" i="7"/>
  <c r="C23" i="7"/>
  <c r="C31" i="7"/>
  <c r="C19" i="7"/>
  <c r="C29" i="7"/>
  <c r="C15" i="7"/>
  <c r="C27" i="7"/>
  <c r="C13" i="7"/>
  <c r="C11" i="7"/>
  <c r="C9" i="7"/>
  <c r="C33" i="7" l="1"/>
</calcChain>
</file>

<file path=xl/sharedStrings.xml><?xml version="1.0" encoding="utf-8"?>
<sst xmlns="http://schemas.openxmlformats.org/spreadsheetml/2006/main" count="906" uniqueCount="580">
  <si>
    <t>ITEM</t>
  </si>
  <si>
    <t>DESCRIÇÃO</t>
  </si>
  <si>
    <t>CÓDIGO</t>
  </si>
  <si>
    <t>DIRETA</t>
  </si>
  <si>
    <t>INDIRETA</t>
  </si>
  <si>
    <t>(    )</t>
  </si>
  <si>
    <t>UND.</t>
  </si>
  <si>
    <t>QUANT.</t>
  </si>
  <si>
    <t>TOTAL</t>
  </si>
  <si>
    <t>FONTE</t>
  </si>
  <si>
    <t>4.1</t>
  </si>
  <si>
    <t>1.1</t>
  </si>
  <si>
    <t>2.1</t>
  </si>
  <si>
    <t>3.1</t>
  </si>
  <si>
    <t>(  X  )</t>
  </si>
  <si>
    <t xml:space="preserve">FORMA DE
EXECUÇÃO: </t>
  </si>
  <si>
    <t>UNITÁRIO
 S/ BDI</t>
  </si>
  <si>
    <t>UNITÁRIO
C/ BDI</t>
  </si>
  <si>
    <t>FÓRMULA/MEMÓRIA</t>
  </si>
  <si>
    <t>MÊS 01</t>
  </si>
  <si>
    <t>MÊS 02</t>
  </si>
  <si>
    <t>5.1</t>
  </si>
  <si>
    <t>5.2</t>
  </si>
  <si>
    <t>6.1</t>
  </si>
  <si>
    <t>7.1</t>
  </si>
  <si>
    <t>6.2</t>
  </si>
  <si>
    <t>MÊS 03</t>
  </si>
  <si>
    <t>1.2</t>
  </si>
  <si>
    <t>4.2</t>
  </si>
  <si>
    <t>4.3</t>
  </si>
  <si>
    <t>6.3</t>
  </si>
  <si>
    <t>m²</t>
  </si>
  <si>
    <t>APILOAMENTO DO FUNDO DE VALAS COM SOQUETE</t>
  </si>
  <si>
    <t>m³</t>
  </si>
  <si>
    <t xml:space="preserve">BDI = </t>
  </si>
  <si>
    <t>3.2</t>
  </si>
  <si>
    <t>-</t>
  </si>
  <si>
    <t>4.4</t>
  </si>
  <si>
    <t>5.3</t>
  </si>
  <si>
    <t>6.4</t>
  </si>
  <si>
    <t>SEINFRA</t>
  </si>
  <si>
    <t>ED-49619</t>
  </si>
  <si>
    <t>6.5</t>
  </si>
  <si>
    <t>ED-49812</t>
  </si>
  <si>
    <t>LASTRO DE CONCRETO MAGRO, INCLUSIVE TRANSPORTE, LANÇAMENTO E ADENSAMENTO</t>
  </si>
  <si>
    <t>ED-49228</t>
  </si>
  <si>
    <t>ED-51107</t>
  </si>
  <si>
    <t>ED-51093</t>
  </si>
  <si>
    <t>ED-49810</t>
  </si>
  <si>
    <t>ED-50668</t>
  </si>
  <si>
    <t>ED-49602</t>
  </si>
  <si>
    <t>ED-50727</t>
  </si>
  <si>
    <t>ED-50493</t>
  </si>
  <si>
    <t>ED-50330</t>
  </si>
  <si>
    <t>FÍSICO/
FINANCEIRO</t>
  </si>
  <si>
    <t>MEMÓRIA DE CÁLCULO</t>
  </si>
  <si>
    <t>PLANILHA ORÇAMENTÁRIA DE CUSTOS</t>
  </si>
  <si>
    <t>2.2</t>
  </si>
  <si>
    <t>2.3</t>
  </si>
  <si>
    <t>3.3</t>
  </si>
  <si>
    <t>4.1.1</t>
  </si>
  <si>
    <t>4.1.2</t>
  </si>
  <si>
    <t>4.1.3</t>
  </si>
  <si>
    <t>4.1.4</t>
  </si>
  <si>
    <t>4.2.1</t>
  </si>
  <si>
    <t>4.2.2</t>
  </si>
  <si>
    <t>4.2.3</t>
  </si>
  <si>
    <t>4.3.1</t>
  </si>
  <si>
    <t>4.3.2</t>
  </si>
  <si>
    <t>4.4.1</t>
  </si>
  <si>
    <t>4.4.2</t>
  </si>
  <si>
    <t>4.4.3</t>
  </si>
  <si>
    <t>5.4</t>
  </si>
  <si>
    <t>5.5</t>
  </si>
  <si>
    <t>5.6</t>
  </si>
  <si>
    <t>6.6</t>
  </si>
  <si>
    <t>6.7</t>
  </si>
  <si>
    <t>6.8</t>
  </si>
  <si>
    <t>6.9</t>
  </si>
  <si>
    <t>6.10</t>
  </si>
  <si>
    <t>6.11</t>
  </si>
  <si>
    <t>6.12</t>
  </si>
  <si>
    <t>ED-51120</t>
  </si>
  <si>
    <t>ED-49787</t>
  </si>
  <si>
    <t>ED-49644</t>
  </si>
  <si>
    <t>ED-48231</t>
  </si>
  <si>
    <t>ED-50762</t>
  </si>
  <si>
    <t>ED-50728</t>
  </si>
  <si>
    <t>ED-50763</t>
  </si>
  <si>
    <t>ED-9081</t>
  </si>
  <si>
    <t>ED-50451</t>
  </si>
  <si>
    <t>ED-50452</t>
  </si>
  <si>
    <t>ED-50667</t>
  </si>
  <si>
    <t>ED-50678</t>
  </si>
  <si>
    <t>ED-50648</t>
  </si>
  <si>
    <t>ED-48182</t>
  </si>
  <si>
    <t>ED-48183</t>
  </si>
  <si>
    <t>ED-48189</t>
  </si>
  <si>
    <t>ED-50278</t>
  </si>
  <si>
    <t>ED-50326</t>
  </si>
  <si>
    <t>ED-50331</t>
  </si>
  <si>
    <t>ED-50289</t>
  </si>
  <si>
    <t>ED-50297</t>
  </si>
  <si>
    <t>ED-49230</t>
  </si>
  <si>
    <t>ED-49527</t>
  </si>
  <si>
    <t>SERVIÇOS PRELIMINARES</t>
  </si>
  <si>
    <t>TRABALHOS EM TERRA</t>
  </si>
  <si>
    <t>ESCAVAÇÃO MANUAL DE VALAS H &lt;= 1,50 M</t>
  </si>
  <si>
    <t>ESTRUTURAS EM CONCRETO ARMADO</t>
  </si>
  <si>
    <t>FUNDAÇÃO - SAPATAS E PILARES DE ARRANQUE</t>
  </si>
  <si>
    <t>FORMA E DESFORMA DE TÁBUA E SARRAFO, REAPROVEITAMENTO (3X) (FUNDAÇÃO)</t>
  </si>
  <si>
    <t>FORNECIMENTO DE CONCRETO ESTRUTURAL, PREPARADO EM OBRA COM BETONEIRA, COM FCK 25MPA ,INCLUSIVE LANÇAMENTO, ADENSAMENTO E ACABAMENTO (FUNDAÇÃO)</t>
  </si>
  <si>
    <t>FUNDAÇÃO - VIGAS BALDRAME</t>
  </si>
  <si>
    <t>FORMA E DESFORMA DE COMPENSADO RESINADO, ESP. 10MM, REAPROVEITAMENTO (3X), EXCLUSIVE ESCORAMENTO</t>
  </si>
  <si>
    <t>FORNECIMENTO DE CONCRETO ESTRUTURAL, PREPARADO EM OBRA, COM FCK 25MPA, INCLUSIVE LANÇAMENTO, ADENSAMENTO E ACABAMENTO</t>
  </si>
  <si>
    <t>VEDAÇÕES, PISOS, COBERTURAS, ESQUADRIAS, ACABAMENTOS E ACESSÓRIOS</t>
  </si>
  <si>
    <t>ALVENARIAS/REVESTIMENTOS</t>
  </si>
  <si>
    <t>CHAPISCO COM ARGAMASSA, TRAÇO 1:3 (CIMENTO E AREIA), ESP. 5MM, APLICADO EM ALVENARIA/ESTRUTURA DE CONCRETO COM COLHER, PREPARO MECÂNICO</t>
  </si>
  <si>
    <t>REVESTIMENTO COM ARGAMASSA EM CAMADA ÚNICA, APLICADO EM PAREDE, TRAÇO 1:3 (CIMENTO E AREIA), ESP. 20MM, APLICAÇÃO MANUAL, PREPARO MECÂNICO</t>
  </si>
  <si>
    <t>CHAPISCO COM ARGAMASSA, TRAÇO 1:3 (CIMENTO E AREIA), ESP. 5MM, APLICADO EM TETO COM COLHER, PREPARO MECÂNICO</t>
  </si>
  <si>
    <t>REVESTIMENTO COM ARGAMASSA EM CAMADA ÚNICA, APLICADO EM TETO, TRAÇO 1:3 (CIMENTO E AREIA), ESP. 20MM, APLICAÇÃO MANUAL, PREPARO MECÂNICO</t>
  </si>
  <si>
    <t>PISOS</t>
  </si>
  <si>
    <t>REVESTIMENTO COM CERÂMICA APLICADO EM PAREDE, ACABAMENTO ESMALTADO, AMBIENTE INTERNO/EXTERNO, PADRÃO EXTRA, DIMENSÃO DA PEÇA ATÉ 2025 CM2, PEIIII, ASSENTAMENTO COM ARGAMASSA INDUSTRIALIZADA, INCLUSIVE REJUNTAMENTO</t>
  </si>
  <si>
    <t>PINTURA</t>
  </si>
  <si>
    <t>PINTURA ACRÍLICA EM TETO, DUAS (2) DEMÃOS, EXCLUSIVE SELADOR ACRÍLICO E MASSA ACRÍLICA/CORRIDA (PVA)</t>
  </si>
  <si>
    <t>COBERTURA</t>
  </si>
  <si>
    <t>CHAPIM METÁLICO, COM PINGADEIRA, CHAPA GALVANIZADA Nº24, DESENVOLVIMENTO = 35 CM</t>
  </si>
  <si>
    <t>RUFO E CONTRA-RUFO DE CHAPA GALVANIZADA Nº.24, DESENVOLVIMENTO = 33 CM</t>
  </si>
  <si>
    <t>CALHA DE CHAPA GALVANIZADA Nº.22 GSG,DESENVOLVIMENTO= 33 CM</t>
  </si>
  <si>
    <t>CONDUTOR DE AP DO TELHADO EM TUBO PVC ESGOTO, INCLUSIVE CONEXÕES E SUPORTES, 100 MM</t>
  </si>
  <si>
    <t>SOLEIRAS E PEITORIS</t>
  </si>
  <si>
    <t>ESQUADRIAS E ACESSÓRIOS</t>
  </si>
  <si>
    <t>DISPENSER EM PLÁSTICO PARA PAPEL TOALHA 2 OU 3 FOLHAS</t>
  </si>
  <si>
    <t>PAPELEIRA PLASTICA TIPO DISPENSER PARA PAPEL HIGIENICO ROLAO</t>
  </si>
  <si>
    <t>SABONETEIRA PLASTICA TIPO DISPENSER PARA SABONETE LIQUIDO COM RESERVATORIO 1500 ML</t>
  </si>
  <si>
    <t>CUBA EM AÇO INOXIDÁVEL DE EMBUTIR, AISI 304, APLICAÇÃO PARA PIA (560X330X115MM), NÚMERO 2, ASSENTAMENTO EM BANCADA, INCLUSIVE VÁLVULA DE ESCOAMENTO DE METAL COM ACABAMENTO CROMADO, SIFÃO DE METAL TIPO COPO COM ACABAMENTO CROMADO, FORNECIMENTO E INSTALAÇÃO</t>
  </si>
  <si>
    <t>TORNEIRA METÁLICA PARA LAVATÓRIO, ACABAMENTO CROMADO, COM AREJADOR, APLICAÇÃO DE MESA, INCLUSIVE ENGATE FLEXÍVEL METÁLICO, FORNECIMENTO E INSTALAÇÃO</t>
  </si>
  <si>
    <t>TORNEIRA METÁLICA PARA PIA, ACABAMENTO CROMADO, COM AREJADOR, APLICAÇÃO DE PAREDE, INCLUSIVE FORNECIMENTO E INSTALAÇÃO</t>
  </si>
  <si>
    <t>TORNEIRA METÁLICA PARA TANQUE, ACABAMENTO CROMADO, INCLUSIVE ENGATE FLEXÍVEL METÁLICO, FORNECIMENTO E INSTALAÇÃO</t>
  </si>
  <si>
    <t>TANQUE DE LOUÇA BRANCA COM COLUNA, CAPACIDADE 22 LITROS, INCLUSIVE ACESSÓRIOS DE FIXAÇÃO, FORNECIMENTO, INSTALAÇÃO E REJUNTAMENTO, EXCLUSIVE TORNEIRA, VÁLVULA DE ESCOAMENTO E SIFÃO</t>
  </si>
  <si>
    <t>BACIA SANITÁRIA (VASO) DE LOUÇA COM CAIXA ACOPLADA, COR BRANCA, INCLUSIVE ACESSÓRIOS DE FIXAÇÃO/VEDAÇÃO, ENGATE FLEXÍVEL METÁLICO, FORNECIMENTO, INSTALAÇÃO E REJUNTAMENTO</t>
  </si>
  <si>
    <t>PORTA DE ABRIR, MADEIRA DE LEI PRANCHETA PARA PINTURA COMPLETA 80 X 210 CM, COM FERRAGENS EM FERRO LATONADO</t>
  </si>
  <si>
    <t>PINTURA ESMALTE EM ESQUADRIA DE MADEIRA, DUAS (2) DEMÃOS, INCLUSIVE UMA (1) DEMÃO DE FUNDO NIVELADOR, EXCLUSIVE MASSA A ÓLEO</t>
  </si>
  <si>
    <t>INSTALAÇÕES ELÉTRICAS</t>
  </si>
  <si>
    <t>INSTALAÇÕES HIDROSSANITÁRIAS</t>
  </si>
  <si>
    <t>LIMPEZA DE OBRA</t>
  </si>
  <si>
    <t>uma unidade</t>
  </si>
  <si>
    <t>ED-48298</t>
  </si>
  <si>
    <t>CORTE, DOBRA E MONTAGEM DE AÇO CA-50/60</t>
  </si>
  <si>
    <t>kg</t>
  </si>
  <si>
    <t>LAJES DE TETO</t>
  </si>
  <si>
    <t>SUPERESTRUTURA - PILARES E VIGAS</t>
  </si>
  <si>
    <t>LAJE PRÉ-MOLDADA, A REVESTIR, INCLUSIVE CAPEAMENTO E = 4 CM, SC = 300 KG/M2, L = 4,00 M</t>
  </si>
  <si>
    <t>ED-50260</t>
  </si>
  <si>
    <t>ALVENARIA DE VEDAÇÃO COM TIJOLO CERÂMICO FURADO, ESP. 9CM, PARA REVESTIMENTO, INCLUSIVE ARGAMASSA PARA ASSENTAMENTO</t>
  </si>
  <si>
    <t>mesma área de chapisco das paredes</t>
  </si>
  <si>
    <t>ED-13345</t>
  </si>
  <si>
    <t>LUMINÁRIA ARANDELA TIPO MEIA-LUA COMPLETA, DIÂMETRO 25 CM, PARA UMA (1) LÂMPADA LED, POTÊNCIA 15W, BULBO A65, FORNECIMENTO E INSTALAÇÃO, INCLUSIVE BASE E LÂMPADA</t>
  </si>
  <si>
    <t>para circuitos de iluminação</t>
  </si>
  <si>
    <t>para circuitos de tomadas</t>
  </si>
  <si>
    <t>disjuntor geral do quadro de distribuição de circuitos</t>
  </si>
  <si>
    <t>SUPRESSOR DE SURTO PARA PROTEÇÃO PRIMÁRIA EM QGD, ATÉ 1,5 KV - 5 KA</t>
  </si>
  <si>
    <t>1 quadro para atender aos circuitos de iluminação e tomadas</t>
  </si>
  <si>
    <t>a instalar no quadro de distribuição de circuitos</t>
  </si>
  <si>
    <t>DISJUNTOR MONOPOLAR TERMOMAGNÉTICO 5KA, DE 10A</t>
  </si>
  <si>
    <t>DISJUNTOR MONOPOLAR TERMOMAGNÉTICO 5KA, DE 16A</t>
  </si>
  <si>
    <t>u</t>
  </si>
  <si>
    <t>m</t>
  </si>
  <si>
    <t>ED-50221</t>
  </si>
  <si>
    <t>PONTO DE ÁGUA FRIA EMBUTIDO, INCLUINDO TUBO DE PVC RÍGIDO SOLDÁVEL E CONEXÕES</t>
  </si>
  <si>
    <t>a instalar conforme posição indicada no projeto arquitetônico</t>
  </si>
  <si>
    <t>ED-50000</t>
  </si>
  <si>
    <t>REGISTRO DE ESFERA, TIPO PVC SOLDÁVEL DN 25MM (3/4"), INCLUSIVE VOLANTE PARA ACIONAMENTO</t>
  </si>
  <si>
    <t>a instalar na entrada de água fria da caixa d'água</t>
  </si>
  <si>
    <t>ED-49989</t>
  </si>
  <si>
    <t>REGISTRO DE GAVETA, TIPO BASE, ROSCÁVEL 3/4" (PARA TUBO SOLDÁVEL OU PPR DN 25MM/CPVC DN 22MM), INCLUSIVE ACABAMENTO (PADRÃO MÉDIO) E CANOPLA CROMADO</t>
  </si>
  <si>
    <t>ED-50225</t>
  </si>
  <si>
    <t>PONTO DE ESGOTO, INCLUINDO TUBO DE PVC RÍGIDO SOLDÁVEL DE 100 MM E CONEXÕES (VASO SANITÁRIO)</t>
  </si>
  <si>
    <t>a instalar nas prumadas de água fria da IS MASC., IS FEM. e DML/COPA/Bebedouro</t>
  </si>
  <si>
    <t>ED-50223</t>
  </si>
  <si>
    <t>PONTO DE ESGOTO, INCLUINDO TUBO DE PVC RÍGIDO SOLDÁVEL DE 40 MM E CONEXÕES (LAVATÓRIOS, MICTÓRIOS, RALOS SIFONADOS, ETC.)</t>
  </si>
  <si>
    <t>ED-50224</t>
  </si>
  <si>
    <t>PONTO DE ESGOTO, INCLUINDO TUBO DE PVC RÍGIDO SOLDÁVEL DE 50 MM E CONEXÕES (PIAS DE COZINHA, MÁQUINAS DE LAVAR, ETC.)</t>
  </si>
  <si>
    <t>ED-49939</t>
  </si>
  <si>
    <t>CAIXA DE GORDURA PRÉ-FABRICADA SIMPLES VOL. 31 LITROS</t>
  </si>
  <si>
    <t>ED-8845</t>
  </si>
  <si>
    <t>FORNECIMENTO E ASSENTAMENTO DE TUBO PVC RÍGIDO, VENTILAÇÃO, PBV - SÉRIE NORMAL, DN 50 MM (2"), INCLUSIVE CONEXÕES</t>
  </si>
  <si>
    <t>ED-49887</t>
  </si>
  <si>
    <t>CAIXA DE ESGOTO DE INSPEÇÃO/PASSAGEM EM ALVENARIA (60X60X80CM), REVESTIMENTO EM ARGAMASSA COM ADITIVO IMPERMEABILIZANTE, COM TAMPA DE CONCRETO, INCLUSIVE ESCAVAÇÃO, REATERRO E TRANSPORTE E RETIRADA DO MATERIAL ESCAVADO (EM CAÇAMBA)</t>
  </si>
  <si>
    <t>LIMPEZA FINAL PARA ENTREGA DA OBRA</t>
  </si>
  <si>
    <t>volume total de escavação deduzidos os volumes do lastro de concreto magro + o volume do concreto das estruturas de fundação (sapatas + arranques dos pilares + vigas de fundação)</t>
  </si>
  <si>
    <t>ED-49962</t>
  </si>
  <si>
    <t>RALO SEMI- HEMISFÉRICO TIPO ABACAXI D = 100 MM</t>
  </si>
  <si>
    <t>a instalar no topo dos tubos de descida de águas pluviais</t>
  </si>
  <si>
    <t>MÊS 04</t>
  </si>
  <si>
    <t>VALOR:</t>
  </si>
  <si>
    <t>CRONOGRAMA FÍSICO-FINANCEIRO</t>
  </si>
  <si>
    <t>FORNECIMENTO DE CONCRETO ESTRUTURAL, PREPARADO EM OBRA COM BETONEIRA, COM FCK 25 MPA, INCLUSIVE LANÇAMENTO, ADENSAMENTO E ACABAMENTO (FUNDAÇÃO)</t>
  </si>
  <si>
    <t>ED-50566</t>
  </si>
  <si>
    <t>CONTRAPISO DESEMPENADO COM ARGAMASSA, TRAÇO 1:3 (CIMENTO E AREIA), ESP. 20MM</t>
  </si>
  <si>
    <t>8.1</t>
  </si>
  <si>
    <t>ED-50514</t>
  </si>
  <si>
    <t>PREPARAÇÃO PARA EMASSAMENTO OU PINTURA (LÁTEX/ACRÍLICA) EM PAREDE, INCLUSIVE UMA (1) DEMÃO DE SELADOR ACRÍLICO</t>
  </si>
  <si>
    <t>ED-50515</t>
  </si>
  <si>
    <t>PREPARAÇÃO PARA EMASSAMENTO OU PINTURA (LÁTEX/ACRÍLICA) EM TETO, INCLUSIVE UMA (1) DEMÃO DE SELADOR ACRÍLICO</t>
  </si>
  <si>
    <t>4.3.3</t>
  </si>
  <si>
    <t>ED-50266</t>
  </si>
  <si>
    <t>conforme projeto Estrutural</t>
  </si>
  <si>
    <t>conforme projeto estrutural</t>
  </si>
  <si>
    <t>7.2</t>
  </si>
  <si>
    <t>PISO EXTERNO</t>
  </si>
  <si>
    <t>ED-19637</t>
  </si>
  <si>
    <t>CIMBRAMENTO PARA LAJE PRÉ-MOLDADA COM ESCORAMENTO METÁLICO, TIPO "A", ALTURA DE (200 ATÉ 310)CM, INCLUSIVE DESCARGA, MONTAGEM, DESMONTAGEM E CARGA</t>
  </si>
  <si>
    <t>m2xmês</t>
  </si>
  <si>
    <t>ESPELHO (40X60CM) ESP.4MM INCLUSIVE FIXAÇÃO COM PARAFUSO FINESSON - FORNECIMENTO E INSTALAÇÃO</t>
  </si>
  <si>
    <t>ED-51152</t>
  </si>
  <si>
    <t>PM80 - conforme projeto arquitetônico</t>
  </si>
  <si>
    <t>LUMINÁRIA PLAFON REDONDO DE VIDRO JATEADO REDONDO COMPLETA, DIÂMETRO 25 CM, PARA UMA (1) LÂMPADA LED, POTÊNCIA 15W, BULBO A65, FORNECIMENTO E INSTALAÇÃO, INCLUSIVE BASE E LÂMPADA</t>
  </si>
  <si>
    <t>ED-13357</t>
  </si>
  <si>
    <t>área externa</t>
  </si>
  <si>
    <t>área interna da edificação</t>
  </si>
  <si>
    <t>CONJUNTO DE UM (1) INTERRUPTOR BIPOLAR SIMPLES, CORRENTE 10A, TENSÃO 250V, (10A-250V), COM PLACA 4"X2" DE UM (1) POSTO, INCLUSIVE FORNECIMENTO, INSTALAÇÃO, SUPORTE, MÓDULO E PLACA</t>
  </si>
  <si>
    <t>ED-15735</t>
  </si>
  <si>
    <t>área interna e externa</t>
  </si>
  <si>
    <t>CONJUNTO DE UMA (1) TOMADA PADRÃO, TRÊS (3) POLOS, CORRENTE 10A, TENSÃO 250V, (2P+T/10A-250V), COM PLACA 4"X2" DE UM (1) POSTO, INCLUSIVE FORNECIMENTO, INSTALAÇÃO, SUPORTE, MÓDULO E PLACA</t>
  </si>
  <si>
    <t>ED-15748</t>
  </si>
  <si>
    <t>PLANTIO DE GRAMA ESMERALDA EM PLACAS, INCLUSIVE TERRA VEGETAL E CONSERVAÇÃO POR TRINTA (30) DIAS</t>
  </si>
  <si>
    <t>ED-50437</t>
  </si>
  <si>
    <t>GUIA DE MEIO-FIO, EM CONCRETO COM FCK 15MPA, MOLDADA INLOCO, SEÇÃO 15X45CM, FORMA EM MADEIRA, EXCLUSIVE SARJETA, INCLUSIVE ESCAVAÇÃO, APILOAMENTO E TRANSPORTE COM RETIRADA DO MATERIAL ESCAVADO (EM CAÇAMBA)</t>
  </si>
  <si>
    <t>ED-51141</t>
  </si>
  <si>
    <t xml:space="preserve">a instalar para atender aos lavatórios, vasos sanitários, chuveiros, duchas, tanques, pia e bebedouro indicados no projeto arquitetônico </t>
  </si>
  <si>
    <t>ADAPTADOR SOLDÁVEL DE PVC MARROM COM FLANGES E ANEL PARA CAIXA DÁGUA Ø 25 MM X 3/4"</t>
  </si>
  <si>
    <t>ED-49845</t>
  </si>
  <si>
    <t>REGISTRO DE ESFERA, TIPO PVC SOLDÁVEL DN 32MM (1"), INCLUSIVE VOLANTE PARA ACIONAMENTO</t>
  </si>
  <si>
    <t>ED-50001</t>
  </si>
  <si>
    <t xml:space="preserve"> alimentação das caixas d´água </t>
  </si>
  <si>
    <t>ADAPTADOR SOLDÁVEL DE PVC MARROM COM FLANGES E ANEL PARA CAIXA DÁGUA Ø 32 MM X 1"</t>
  </si>
  <si>
    <t>ED-49846</t>
  </si>
  <si>
    <t>REGISTRO DE PRESSÃO, TIPO BASE, ROSCÁVEL 3/4" (PARA TUBO SOLDÁVEL OU PPR DN 25MM/CPVC DN 22MM), INCLUSIVE ACABAMENTO (PADRÃO MÉDIO) E CANOPLA CROMADOS</t>
  </si>
  <si>
    <t>ED-49965</t>
  </si>
  <si>
    <t>a instalar nos chuveiros</t>
  </si>
  <si>
    <t>FORNECIMENTO E ASSENTAMENTO DE TUBO PVC RÍGIDO SOLDÁVEL, ÁGUA FRIA, DN 32 MM (1") , INCLUSIVE CONEXÕES</t>
  </si>
  <si>
    <t>ED-50020</t>
  </si>
  <si>
    <t>para alimentação das colunas</t>
  </si>
  <si>
    <t>FORNECIMENTO DE ESTRUTURA METÁLICA E ENGRADAMENTO METÁLICO PARA TELHADO DE QUADRA POLIESPORTIVA EM AÇO, COBERTURA PADRÃO DO GINÁSIO POLIESPORTIVO, EXCLUSIVE TELHA, INCLUSIVE PILAR METÁLICO, FABRICAÇÃO, TRANSPORTE, MONTAGEM, APLICAÇÃO DE FUNDO PREPARADOR ANTICORROSIVO, UMA (1) DEMÃO E PINTURA ESMALTE, DUAS (2) DEMÃOS</t>
  </si>
  <si>
    <t>ED-20577</t>
  </si>
  <si>
    <t>(7,89+10,41+3,35+3,35+4,12+0,94+0,94+11,80+3,47+23,85+19,40+5,10+10,41+14,74+1,74+6,40+2,22+2,22+4,42)*0,35 - conforme projeto arquitetônico</t>
  </si>
  <si>
    <t>FORNECIMENTO E COLOCAÇÃO DE PLACA DE OBRA EM CHAPA
GALVANIZADA #26, ESP. 0,45MM, DIMENSÃO (3X1,5)M, PLOTADA
COM ADESIVO VINÍLICO, AFIXADA COM REBITES 4,8X40MM, EM
ESTRUTURA METÁLICA DE METALON 20X20MM, ESP. 1,25MM,
INCLUSIVE SUPORTE EM EUCALIPTO AUTOCLAVADO PINTADO
COM TINTA PVA DUAS (2) DEMÃOS</t>
  </si>
  <si>
    <t>ED-28427</t>
  </si>
  <si>
    <t>LOCAÇÃO DE OBRA COM GABARITO DE TÁBUAS CORRIDAS
PONTALETADAS A CADA 2,00M, REAPROVEITAMENTO (2X),
INCLUSIVE ACOMPANHAMENTO DE EQUIPE TOPOGRÁFICA PARA
MARCAÇÃO DE PONTO TOPOGRÁFICO</t>
  </si>
  <si>
    <t>ED-17989</t>
  </si>
  <si>
    <t>PINTURA ACRÍLICA EM PAREDE, DUAS (2) DEMÃOS, EXCLUSIVE SELADOR ACRÍLICO E MASSA ACRÍLICA/CORRIDA (PVA)</t>
  </si>
  <si>
    <t>CHUVEIRO ELÉTRICO BRANCO, TENSÃO 127V/220V, POTÊNCIA 4600W/5500W, INCLUSIVE BRAÇO, FORNECIMENTO E INSTALAÇÃO</t>
  </si>
  <si>
    <t>ED-16344</t>
  </si>
  <si>
    <t>SISTEMA DE PROTEÇÃO CONTRA DESCARGAS ATMOSFÉRICAS (SPDA)</t>
  </si>
  <si>
    <t>un</t>
  </si>
  <si>
    <t>9.1</t>
  </si>
  <si>
    <t>9.2</t>
  </si>
  <si>
    <t>9.3</t>
  </si>
  <si>
    <t>INSTALAÇÃO DE REDE ESTRUTURADA</t>
  </si>
  <si>
    <t>10.1</t>
  </si>
  <si>
    <t>10.2</t>
  </si>
  <si>
    <t>SISTEMA DE PROTEÇÃO CONTRA INCÊNDIO</t>
  </si>
  <si>
    <t>ED-50194</t>
  </si>
  <si>
    <t>ED-50193</t>
  </si>
  <si>
    <t>ED-26989</t>
  </si>
  <si>
    <t>PLACA FOTOLUMINESCENTE "E5"</t>
  </si>
  <si>
    <t>ED-50199</t>
  </si>
  <si>
    <t>ED-50205</t>
  </si>
  <si>
    <t>ED-50201</t>
  </si>
  <si>
    <t>PLACA FOTOLUMINESCENTE "S1" OU "S2"-  (SAÍDA - DIREITA)</t>
  </si>
  <si>
    <t>PLACA FOTOLUMINESCENTE "S12"OU"S3"(SAÍDA)</t>
  </si>
  <si>
    <t>11.1</t>
  </si>
  <si>
    <t>11.2</t>
  </si>
  <si>
    <t>11.3</t>
  </si>
  <si>
    <t>11.4</t>
  </si>
  <si>
    <t>MARCAÇÃO DE PISO PARA LOCALIZAÇÃO DE EXTINTOR, DIMENSÕES 100X100CM</t>
  </si>
  <si>
    <t>LUMINÁRIA DE EMERGÊNCIA DE BLOCOS AUTONÔMOS DE LED, COM AUTONOMIA DE 2H</t>
  </si>
  <si>
    <t xml:space="preserve">EXTINTOR DE INCÊNDIO TIPO PÓ QUIMICO 2-A:20-B:C, CAPACIDADE DE 6 Kg </t>
  </si>
  <si>
    <t>ACIONADOR MANUAL DE ALARME DE INCÊNDIO</t>
  </si>
  <si>
    <t>ED-50180</t>
  </si>
  <si>
    <t>ED-13934</t>
  </si>
  <si>
    <t>CABO DE COBRE NU #35MM2 - 7 FIOSX2,50MM, PARA ELEMENTOS DE CAPTAÇÃO/ANEL DE CINTAMENTO (SPDA), INCLUSIVE PRESILHA DE FIXAÇÃO</t>
  </si>
  <si>
    <t xml:space="preserve">un </t>
  </si>
  <si>
    <t>CABO UTP 4 PARES CATEGORIA 6 COM REVESTIMENTO EXTERNO NÃO PROPAGANTE A CHAMA</t>
  </si>
  <si>
    <t>ED-48365</t>
  </si>
  <si>
    <t>ED-48363</t>
  </si>
  <si>
    <t>CABO COAXIAL RG-59-75 OHMS</t>
  </si>
  <si>
    <t>CONJUNTO DE DUAS (2) TOMADAS DE DADOS (CONECTOR RJ45
CAT.6E), COM PLACA 4"X2" DE DOIS (2) POSTOS, INCLUSIVE
FORNECIMENTO, INSTALAÇÃO, SUPORTE, MÓDULO E PLACA</t>
  </si>
  <si>
    <t>ED-15762</t>
  </si>
  <si>
    <t>CONJUNTO DE DUAS (2) TOMADAS TELEFÔNICAS (CONECTOR RJ11), COM PLACA 4"X4" DE DOIS (2) POSTOS, INCLUSIVE FORNECIMENTO, INSTALAÇÃO, SUPORTE, MÓDULO E PLACA</t>
  </si>
  <si>
    <t>ED-15795</t>
  </si>
  <si>
    <t>CONJUNTO DE UMA (1) TOMADA DE ANTENA (CONECTOR COAXIAL), COM PLACA 4"X2" DE UM (1) POSTO, INCLUSIVE FORNECIMENTO, INSTALAÇÃO, SUPORTE, MÓDULO E PLACA</t>
  </si>
  <si>
    <t>ED-15753</t>
  </si>
  <si>
    <t>CAIXA DE PASSAGEM EM ALVENARIA E TAMPA DE CONCRETO, FUNDO DE BRITA, TIPO 1, 30 X 30 X 40 CM, INCLUSIVE ESCAVAÇÃO, REATERRO E BOTA-FORA</t>
  </si>
  <si>
    <t>ED-49168</t>
  </si>
  <si>
    <t>ED-49215</t>
  </si>
  <si>
    <t xml:space="preserve">CAIXA DE PASSAGEM 20 x 20 CM EM CHAPA DE FERRO COM
TAMPA CEGA PARA TV 20x20x10cm       </t>
  </si>
  <si>
    <t>ELETRODUTO FLEXÍVEL CORRUGADO, PVC, ANTI-CHAMA, DN 32MM (1"), APLICADO EM ALVENARIA, INCLUSIVE RASGO</t>
  </si>
  <si>
    <t>ED-49415</t>
  </si>
  <si>
    <t>10.3</t>
  </si>
  <si>
    <t>10.4</t>
  </si>
  <si>
    <t>10.5</t>
  </si>
  <si>
    <t>10.6</t>
  </si>
  <si>
    <t>10.7</t>
  </si>
  <si>
    <t>12.1</t>
  </si>
  <si>
    <t>LIMPEZA DE TERRENO, INCLUSIVE CAPINA, RASTELAMENTO COM AFASTAMENTO ATÉ VINTE (20) METROS E QUEIMA CONTROLADA</t>
  </si>
  <si>
    <t>ED-50703</t>
  </si>
  <si>
    <t>1.3</t>
  </si>
  <si>
    <t>%</t>
  </si>
  <si>
    <t>BARRACÃO DE OBRA PARA DEPÓSITO E FERRAMENTARIA TIPO-I, ÁREA INTERNA 14,52M2, EM CHAPA DE COMPENSADO RESINADO, INCLUSIVE MOBILIÁRIO (OBRA DE PEQUENO PORTE, EFETIVO ATÉ 30 HOMENS), PADRÃO DER-MG</t>
  </si>
  <si>
    <t>ED-50128</t>
  </si>
  <si>
    <t>Conforme PSCIP(Processo de Segurança Contra Incêndio e Pânico)</t>
  </si>
  <si>
    <t>8.2</t>
  </si>
  <si>
    <t>1.4</t>
  </si>
  <si>
    <t>1.5</t>
  </si>
  <si>
    <t>11.5</t>
  </si>
  <si>
    <t>5.1.1</t>
  </si>
  <si>
    <t>5.1.2</t>
  </si>
  <si>
    <t>5.1.3</t>
  </si>
  <si>
    <t>5.1.4</t>
  </si>
  <si>
    <t>5.1.5</t>
  </si>
  <si>
    <t>5.2.1</t>
  </si>
  <si>
    <t>5.2.2</t>
  </si>
  <si>
    <t>5.2.3</t>
  </si>
  <si>
    <t>5.2.4</t>
  </si>
  <si>
    <t>5.2.5</t>
  </si>
  <si>
    <t>5.2.7</t>
  </si>
  <si>
    <t>5.2.8</t>
  </si>
  <si>
    <t>5.2.9</t>
  </si>
  <si>
    <t>5.3.1</t>
  </si>
  <si>
    <t>5.3.2</t>
  </si>
  <si>
    <t>5.3.3</t>
  </si>
  <si>
    <t>5.3.4</t>
  </si>
  <si>
    <t>5.4.1</t>
  </si>
  <si>
    <t>5.4.2</t>
  </si>
  <si>
    <t>5.4.3</t>
  </si>
  <si>
    <t>5.4.4</t>
  </si>
  <si>
    <t>5.4.5</t>
  </si>
  <si>
    <t>5.4.6</t>
  </si>
  <si>
    <t>5.4.7</t>
  </si>
  <si>
    <t>5.5.1</t>
  </si>
  <si>
    <t>5.5.2</t>
  </si>
  <si>
    <t>5.6.1</t>
  </si>
  <si>
    <t>5.6.2</t>
  </si>
  <si>
    <t>5.6.3</t>
  </si>
  <si>
    <t>5.6.4</t>
  </si>
  <si>
    <t>5.6.8</t>
  </si>
  <si>
    <t>5.6.9</t>
  </si>
  <si>
    <t>5.6.10</t>
  </si>
  <si>
    <t>5.6.11</t>
  </si>
  <si>
    <t>5.6.12</t>
  </si>
  <si>
    <t>5.6.13</t>
  </si>
  <si>
    <t>5.6.14</t>
  </si>
  <si>
    <t>5.6.15</t>
  </si>
  <si>
    <t>5.6.16</t>
  </si>
  <si>
    <t>5.6.17</t>
  </si>
  <si>
    <t>5.6.18</t>
  </si>
  <si>
    <t>5.6.19</t>
  </si>
  <si>
    <t>7.3</t>
  </si>
  <si>
    <t>7.4</t>
  </si>
  <si>
    <t>7.5</t>
  </si>
  <si>
    <t>7.6</t>
  </si>
  <si>
    <t>7.7</t>
  </si>
  <si>
    <t>7.8</t>
  </si>
  <si>
    <t>7.9</t>
  </si>
  <si>
    <t>7.10</t>
  </si>
  <si>
    <t>7.11</t>
  </si>
  <si>
    <t>7.12</t>
  </si>
  <si>
    <t>7.13</t>
  </si>
  <si>
    <t>7.14</t>
  </si>
  <si>
    <t>7.15</t>
  </si>
  <si>
    <t>7.16</t>
  </si>
  <si>
    <t>7.17</t>
  </si>
  <si>
    <t>10.8</t>
  </si>
  <si>
    <t>11.6</t>
  </si>
  <si>
    <t>11.7</t>
  </si>
  <si>
    <t>ED-50984</t>
  </si>
  <si>
    <t>PORTÃO DE TUBO DE FERRO COLOCADO COM CADEADO</t>
  </si>
  <si>
    <t>FORNECIMENTO E ASSENTAMENTO DE TUBO PVC RÍGIDO, COLETOR DE ESGOTO LISO (JEI), DN 100 MM (4"), INCLUSIVE CONEXÕES</t>
  </si>
  <si>
    <t>ED-50105</t>
  </si>
  <si>
    <t>7.18</t>
  </si>
  <si>
    <t>7.19</t>
  </si>
  <si>
    <t>7.20</t>
  </si>
  <si>
    <t>ED-48586</t>
  </si>
  <si>
    <t>CAIXA DE AREIA 50 X 60 X 70 CM</t>
  </si>
  <si>
    <t>REATERRO MANUAL DE VALA, INCLUSIVE ESPALHAMENTO E
COMPACTAÇÃO MANUAL COM SOQUETE</t>
  </si>
  <si>
    <t>ED-29581</t>
  </si>
  <si>
    <t>ARMADURA DE TELA DE AÇO CA-60, SOLDADA TIPO Q-92, DIÂMETRO Ø4,2MM, TRAMA COM DIMENSÃO (150X150)MM, INCLUSIVE ESPAÇADOR, EXCLUSIVE CONCRETO</t>
  </si>
  <si>
    <t>OBRA: BASE DESCENTRALIZADA SAMU - EQUIPE 4 PESSOAS</t>
  </si>
  <si>
    <t>(15,00+9,15+15,00+9,15)</t>
  </si>
  <si>
    <t>(0,60 X 0,60 X 0,60) X 18 UN - volume das sapatas +
(0,12 X 0,30 X 18 UN)) X 0,45 de altura - arranques dos pilares</t>
  </si>
  <si>
    <t>((0,12 + 0,30) X 2 X 18 UN)) X 0,45 de altura - arranques dos pilares +
+ ((0,60 + 0,60 + 0,60 + 0,60) x 0,60 x 18) - Sapatas</t>
  </si>
  <si>
    <t>((9,70*3,00)-(1,20*1,00*2))+((11,20*3,00)-(0,80*2,10*3)-(0,60*0,60)+((8,60*3,00)-(0,60*0,60*2)-(1,20*1,00*2))+((2,45*3,00)-(0,80*2,10)-(0,06*0,60))+((2,30*3,00)-(1,00*1,00))+(3,30*3,00)+((8,00*3,00)-(0,80*2,10)-(1,50*2,70))+((7,85*3,00)-(0,80*2,10)-(0,60*0,60))+((2,65*3,00)-(0,80*2,10))+(1,95*3,00)+(3,10*3,00*2)+((6,65*3,00)-(0,80*2,10)-(1,20*1,00))+(3,40*3,00)+(0,93*3,00)+((3,60+10,20+8,50+5,10+1,50+4,30)*1,30)+((1,65+1,65+3,10+3,10)*2)) - Alvenaria de vedação e platibanda</t>
  </si>
  <si>
    <t>(261,73)*2 Lados de alvenaria</t>
  </si>
  <si>
    <t>(5,20+6,90+3,34+3,68+3,34+4,88+2,65+7,75+3,58+4,19+7,61+5,58+8,68+4,19) - áreas úteis dos ambientes internos indicadas no projeto arquitetônico</t>
  </si>
  <si>
    <t>(5,20+6,90+3,34+3,68+3,34+4,88+2,65+7,75+3,58+4,19+7,61+5,58+8,68+4,19)*0,03 - áreas úteis dos ambientes internos indicadas no projeto arquitetônico</t>
  </si>
  <si>
    <t>(5,20+6,90+3,34+3,68+3,34+4,88+2,65+7,75+3,58+4,19+7,61+5,58+8,68+4,19)*0,05 - áreas úteis dos ambientes internos indicadas no projeto arquitetônico</t>
  </si>
  <si>
    <t>(2,30*3,00)+(1,45*3,00)+(1,45*3,00)+((2,30*3,00)-(0,80*2,10)-(0,60*0,60))+((2,30*3,00)-(0,60*0,60))+(1,45*3,00)+((1,45*3,00)-(0,80*2,10))+(((2,30*3,00)-(1,00*1,00))*2)+((3,00*3,00)-(0,60*0,60))+(2,30*3,00)+((3,00*3,00)-(0,80*2,10))+(3,15*3,00)+(1,65*3,00)+((3,15*3,00)-(0,80*2,10))+((2,46*3,00)-(1,20*1,00))+((1,35*3,00)-(0,60*0,60))+(3,10*3,00)+(3,10*3,00)+((1,35*3,00)-(0,80*2,10))+((1,35*3,00)-(0,60*0,60))+(3,10*3,00)+(3,10*3,00)+((1,35*3,00)-(0,80*2,10)) - Cozinha/copa, Banheiros, DML, Sala de utilidades, Sala de esterilização, Área de tanque para higienização de materiais e equipamentos</t>
  </si>
  <si>
    <t>Área de chapisco/reboco de paredes e platibanda deduzidas os ambientes com revestimento cerâmico nas paredes.</t>
  </si>
  <si>
    <t xml:space="preserve"> laje em toda a edificação + beiral - área de higienização de materias e equipamentos - área de estacionamento e higienização de ambulâncias</t>
  </si>
  <si>
    <t>ED-13852</t>
  </si>
  <si>
    <t xml:space="preserve">COBERTURA EM TELHA METÁLICA GALVANIZADA ONDULADA,
TIPO SIMPLES, ESP. 0,50MM, ACABAMENTO NATURAL, INCLUSIVE
ACESSÓRIOS PARA FIXAÇÃO, FORNECIMENTO E INSTALAÇÃO 
</t>
  </si>
  <si>
    <t>Telhado dos ambientes internos + Área de higienização de materias e equipamentos + Área de estacionamento e higienização de ambulâncias</t>
  </si>
  <si>
    <t>(9,90+3,60+3,50+3,10+10,35+1,35+1,75+8,35) - conforme projeto arquitetônico</t>
  </si>
  <si>
    <t>(0,50+4,45+4,95) - conforme projeto arquitetônico</t>
  </si>
  <si>
    <t>(4,00 X 2) - tubulação de descida de águas pluviais do telhado de telhas metálicas</t>
  </si>
  <si>
    <t>(0,80*0,15)*9</t>
  </si>
  <si>
    <t>((1,20*0,18)*5+(1,10*0,33))conforme projeto arquitetônico</t>
  </si>
  <si>
    <t>(18,74+14,60+2,98+13,90)</t>
  </si>
  <si>
    <t xml:space="preserve">Fachada frontal </t>
  </si>
  <si>
    <t xml:space="preserve">Área do piso externo + àrea interna da edificação </t>
  </si>
  <si>
    <t xml:space="preserve">(0,80*2,10)*09 (2 faces/marco/alisares) conforme projeto arquitetônico </t>
  </si>
  <si>
    <t xml:space="preserve">JANELA EM ALUMÍNIO DE CORRER COM 2 FOLHAS, LINHA 25/
SUPREMA, ACABAMENTO ANODIZADO NATURAL, INCLUSIVE
PERFIS, VIDRO 4MM E INSTALAÇÃO, EXCLUSIVE FERRAGENS
PARA JANELA DE ALUMÍNIO DE CORRER
</t>
  </si>
  <si>
    <t>ED-29484</t>
  </si>
  <si>
    <t>(1,20*1,00*5) conforme projeto arquitetônico</t>
  </si>
  <si>
    <t>JANELA EM ALUMÍNIO MÁXIM-AR COM ALTURA DE 60CM, LINHA 25/
SUPREMA, ACABAMENTO ANODIZADO NATURAL, INCLUSIVE
PERFIS, VIDRO LISO 4MM E INSTALAÇÃO, EXCLUSIVE FERRAGENS
 PARA MÓDULO DE JANELA DE ALUMÍNIO MÁXIM-AR</t>
  </si>
  <si>
    <t xml:space="preserve">ED-29481 </t>
  </si>
  <si>
    <t>(0,60*0,60*5) conforme projeto arquitetônico</t>
  </si>
  <si>
    <t>Banheiro 1 e 2 - conforme projeto arquitetônico</t>
  </si>
  <si>
    <t>Uma saboneteira para Banheiro 1 e 2, sala de utilidades, sala de esterilização e área de higienização de materiais e equipamentos.</t>
  </si>
  <si>
    <t>Uma dispenser para Banheiro 1 e 2, sala de utilidades, sala de esterilização e área de higienização de materiais e equipamentos.</t>
  </si>
  <si>
    <t>((0,52*1,20)+(0,52*1,45)+(0,52*1,20)) - Cozinha/copa, sala de utilidades e esala de esterilização</t>
  </si>
  <si>
    <t>LAVATÓRIO DE LOUÇA BRANCA COM COLUNA, TAMANHO MÉDIO,
INCLUSIVE ACESSÓRIOS DE FIXAÇÃO, VÁLVULA DE ESCOAMENTO
DE METAL COM ACABAMENTO CROMADO, SIFÃO DE METAL TIPO
COPO COM ACABAMENTO CROMADO, FORNECIMENTO,
INSTALAÇÃO E REJUNTAMENTO, EXCLUSIVE TORNEIRA E
ENGATE FLEXÍVEL</t>
  </si>
  <si>
    <t>ED-50282</t>
  </si>
  <si>
    <t>Cozinha/copa, sala de utilidades e esala de esterilização - conforme projeto arquitetônico</t>
  </si>
  <si>
    <t xml:space="preserve"> Cozinha/copa, sala de utilidades e esala de esterilização - conforme projeto arquitetônico</t>
  </si>
  <si>
    <t>1 no DML - conforme projeto arquitetônico</t>
  </si>
  <si>
    <t>1 no DML- conforme projeto arquitetônico</t>
  </si>
  <si>
    <t>FILTRO AP-200 CURTO</t>
  </si>
  <si>
    <t xml:space="preserve">ED-48177 </t>
  </si>
  <si>
    <t>Cozinha/copa - conforme projeto arquitetônico</t>
  </si>
  <si>
    <t>Portão de entrada e grades da fachada</t>
  </si>
  <si>
    <t>1 Banheiro 1, 1 Banheiro 2, 2 sala de estar, 4 cozinha, 2 almoxarifado, 4 quarto1, 4 quarto2, 1 DML, 2 sala de esterilização, 2 sala de utilidades, 1 área de higienização de materiais e equipamentos,</t>
  </si>
  <si>
    <t xml:space="preserve"> CONJUNTO DE DUAS (2) TOMADAS PADRÃO, TRÊS (3) POLOS,
CORRENTE 20A, TENSÃO 250V, (2P+T/20A-250V), COM PLACA 4"X2"
DE DOIS (2) POSTOS, INCLUSIVE FORNECIMENTO, INSTALAÇÃO,
SUPORTE, MÓDULO E PLACA</t>
  </si>
  <si>
    <t>ED-15756</t>
  </si>
  <si>
    <t>Área de higienização de ambulâncias.</t>
  </si>
  <si>
    <t>6.13</t>
  </si>
  <si>
    <t>a instalar no quadro de entrada/medição de energia</t>
  </si>
  <si>
    <t xml:space="preserve"> QUADRO DE DISTRIBUIÇÃO PARA 24 MÓDULOS COM
BARRAMENTO 100 A</t>
  </si>
  <si>
    <t>ED-49501</t>
  </si>
  <si>
    <t xml:space="preserve"> DISJUNTOR BIPOLAR TERMOMAGNÉTICO 5KA, DE 40A</t>
  </si>
  <si>
    <t>ED-49276</t>
  </si>
  <si>
    <t xml:space="preserve"> DISJUNTOR BIPOLAR TERMOMAGNÉTICO 5KA, DE 70A</t>
  </si>
  <si>
    <t>ED-49279</t>
  </si>
  <si>
    <t xml:space="preserve"> DISJUNTOR DE PROTEÇÃO DIFERENCIAL RESIDUAL (DR),
BIPOLAR, TIPO DIN, CORRENTE NOMINAL DE 40A, ALTA
SENSIBILIDADE, CORRENTE DIFERENCIAL RESIDUAL NOMINAL
COM ATUAÇÃO DE 30MA</t>
  </si>
  <si>
    <t>ED-15115</t>
  </si>
  <si>
    <t>a instalar no quadro de distribuição para proteção dos circuitos dos chuveiros e circuitos da áreas molhadas, como cozinha, sala de utilidades e áreas de higienização.</t>
  </si>
  <si>
    <t xml:space="preserve"> ENTRADA DE ENERGIA AÉREA, TIPO B2, PADRÃO CEMIG, CARGA
INSTALADA DE 10,1KW ATÉ 15KW, BIFÁSICO, COM SAÍDA
SUBTERRÂNEA, INCLUSIVE POSTE, CAIXA PARA MEDIDOR,
DISJUNTOR, BARRAMENTO, ATERRAMENTO E ACESSÓRIOS</t>
  </si>
  <si>
    <t>ED-20580</t>
  </si>
  <si>
    <t>a instalar para atender à BASE SAMU.</t>
  </si>
  <si>
    <t xml:space="preserve"> MASTRO SIMPLES DE FERRO GALVANIZADO PARA PÁRA-RAIOS,
ALTURA DE 3 M, Ø 40 MM (1 1/2") OU 50 MM (2"), COMPLETO</t>
  </si>
  <si>
    <t>ED-51068</t>
  </si>
  <si>
    <t xml:space="preserve"> PARA-RAIO DE LATAO CROMADO, COBRE CROMADO OU ACO
INOXIDAVEL, TIPO FRANKLIN</t>
  </si>
  <si>
    <t>ED-51073</t>
  </si>
  <si>
    <t xml:space="preserve"> APARELHO SINALIZADOR NOTURNO DE OBSTÁCULOS AÉREO,
SIMPLES, COM CÉLULA FOTOELÉTRICA, INCLUSIVE UMA (1)
LÂMPADA LED, POTÊNCIA 9W, BULBO A60, E SUPORTE DE TOPO
PARA MASTRO, EXCLUSIVE MASTRO
</t>
  </si>
  <si>
    <t>ED-51015</t>
  </si>
  <si>
    <t>9.4</t>
  </si>
  <si>
    <t>9.5</t>
  </si>
  <si>
    <t xml:space="preserve"> TERMINAL A COMPRESSAO EM COBRE ESTANHADO 2 FUROS
PARA CABO 35 MM2</t>
  </si>
  <si>
    <t>ED-51090</t>
  </si>
  <si>
    <t xml:space="preserve"> REGISTRO DE ESFERA, TIPO PVC SOLDÁVEL DN 50MM (1.1/2"),
INCLUSIVE VOLANTE PARA ACIONAMENTO</t>
  </si>
  <si>
    <t>ED-50003</t>
  </si>
  <si>
    <t xml:space="preserve">extravasor/limpeza </t>
  </si>
  <si>
    <t>a instalar nos barriletes</t>
  </si>
  <si>
    <t>a instalar na saída dos barriletes</t>
  </si>
  <si>
    <t xml:space="preserve"> ADAPTADOR SOLDÁVEL DE PVC MARROM COM FLANGES E ANEL
PARA CAIXA DÁGUA Ø 50 MM X 1 1/2"</t>
  </si>
  <si>
    <t>ED-49848</t>
  </si>
  <si>
    <t xml:space="preserve"> CAIXA D´ÁGUA DE POLIETILENO, CAPACIDADE DE 500L,
INCLUSIVE TAMPA, TORNEIRA DE BOIA, EXTRAVASOR, TUBO DE
LIMPEZA E ACESSÓRIOS, EXCLUSIVE TUBULAÇÃO DE ENTRADA/
SAÍDA DE ÁGUA</t>
  </si>
  <si>
    <t>ED-49935</t>
  </si>
  <si>
    <t xml:space="preserve"> KIT CAVALETE PARA MEDIÇÃO DE ÁGUA, EMBUTIDO EM
ALVENARIA, EM AÇO GALVANIZADO DN 25MM (3/4") - PADRÃO
CONCESSIONÁRIA LOCAL, EXCLUSIVE HIDRÔMETRO
</t>
  </si>
  <si>
    <t>ED-15205</t>
  </si>
  <si>
    <t>a instalar conforme posição indicada no projeto hidrossanitário</t>
  </si>
  <si>
    <t>para ventilação da rede de esgoto - 2 pontos de ventilação de 5m.</t>
  </si>
  <si>
    <t>1 para a rede de esgoto da pia da Cozinha/copa</t>
  </si>
  <si>
    <t xml:space="preserve"> CAIXA SIFONADA EM PVC COM GRELHA QUADRADA150 X 150 X 50
MM</t>
  </si>
  <si>
    <t>ED-50007</t>
  </si>
  <si>
    <t>para lavatórios, ralos secos, tanques.</t>
  </si>
  <si>
    <t>pia da cozinha/copa</t>
  </si>
  <si>
    <t>Banheiros 1 e 2, DML, sala de utilidades, sala de esterelização e área de higienização.</t>
  </si>
  <si>
    <t>para os vasos sanitários, pia de despejo e área de higienização de ambulância.</t>
  </si>
  <si>
    <t>Conforme projeto hidrossanitário.</t>
  </si>
  <si>
    <t>Conforme projeto Pluvial</t>
  </si>
  <si>
    <t>5.6.5</t>
  </si>
  <si>
    <t>5.6.6</t>
  </si>
  <si>
    <t>5.6.7</t>
  </si>
  <si>
    <t>7.21</t>
  </si>
  <si>
    <t>7.22</t>
  </si>
  <si>
    <t>0,80 X 0,80 X 1,00 X 18 - medidas com acréscimo de 10 cm em cada face para forma, 5cm de lastro da sapata, 30cm de altura de viga baldrame e 5cm de lastro da viga baldrame + 92,00 X 0,25 X 0,35 - medidas com acréscimo de 10 cm na largura para a forma e 5cm de lastro na altura das vigas</t>
  </si>
  <si>
    <t>0,80 X 0,80 X 18 - área do fundo das sapatas escavadas + 
92,00 X 0,25  - área do fundo das vigas baldrame escavadas</t>
  </si>
  <si>
    <t>0,80 X 0,80 X 18 X 0,05 - a aplicar no fundo das sapatas + 
92 X 0,25 X 0,05 - Baldrame</t>
  </si>
  <si>
    <t>92,00 X 0,30 X 0,15 - volume das vigas baldrame conforme projeto estrutural</t>
  </si>
  <si>
    <t>92,00 X 0,30 X 2 lados - para as vigas baldrame conforme projeto estrutural</t>
  </si>
  <si>
    <t xml:space="preserve">(92 X 0,30 X 2 lados) vigas dos níveis +3,48 conforme projeto estrutural +
((0,12 + 0,30) X 2 X 3,48 X 18) - pilares conforme projeto estrutural </t>
  </si>
  <si>
    <t xml:space="preserve">(92 X 0,30 X 0,12) - vigas dos níveis +3,48
(0,12 X 0,30 X 3,48 X 18)  - pilares </t>
  </si>
  <si>
    <t>DATA:28/08/2025</t>
  </si>
  <si>
    <t>ED-50392</t>
  </si>
  <si>
    <t>MOBILIZAÇÃO E DESMOBILIZAÇÃO DE OBRA EM CENTRO URBANO OU REGIÃO LIMÍTROFE COM VALOR ATÉ 1.000.000,00</t>
  </si>
  <si>
    <t>ED-51003</t>
  </si>
  <si>
    <t>SOLEIRA DE GRANITO, NA COR CINZA ANDORINHA, ESP. 3CM, ACABAMENTO POLIDO, ASSENTAMENTO COM ARGAMASSA INDUSTRIALIZADA, INCLUSIVE REJUNTAMENTO</t>
  </si>
  <si>
    <t>ED-50998</t>
  </si>
  <si>
    <t>PEITORIL DE GRANITO, NA COR CINZA ANDORINHA, COM PINGADEIRA, ESP. 3CM, ACABAMENTO POLIDO, ASSENTAMENTO COM ARGAMASSA INDUSTRIALIZADA, INCLUSIVE REJUNTAMENTO</t>
  </si>
  <si>
    <t>ED-50983</t>
  </si>
  <si>
    <t>PORTÃO DE GRADE EM BARRA REDONDA 1/2" E REQUADRO EM BARRA CHATA 1.1/4"X3/16", EXCLUSIVE CADEADO E PINTURA</t>
  </si>
  <si>
    <t>ED-34460</t>
  </si>
  <si>
    <t>DISJUNTOR MONOPOLAR TIPO DIN, CORRENTE NOMINAL DE 10A, FORNECIMENTO E INSTALAÇÃO, INCLUSIVE TERMINAL ILHÓS</t>
  </si>
  <si>
    <t>ED-34461</t>
  </si>
  <si>
    <t>DISJUNTOR MONOPOLAR TIPO DIN, CORRENTE NOMINAL DE 16A, FORNECIMENTO E INSTALAÇÃO, INCLUSIVE TERMINAL ILHÓS</t>
  </si>
  <si>
    <t>ED-34478</t>
  </si>
  <si>
    <t>DISJUNTOR BIPOLAR TIPO DIN, CORRENTE NOMINAL DE 40A, FORNECIMENTO E INSTALAÇÃO, INCLUSIVE TERMINAL ILHÓS</t>
  </si>
  <si>
    <t>ED-34480</t>
  </si>
  <si>
    <t>DISJUNTOR BIPOLAR TIPO DIN, CORRENTE NOMINAL DE 63A, FORNECIMENTO E INSTALAÇÃO, INCLUSIVE TERMINAL ILHÓS</t>
  </si>
  <si>
    <t>ED-14188</t>
  </si>
  <si>
    <t>QUADRO DE DISTRIBUIÇÃO DE SOBREPOR EM CHAPA, PARA 24 DISJUNTORES DIN, INCLUSIVE BARRAMENTOS NEUTRO/TERRA E BARRAMENTO TRIFÁSICO DE 100A</t>
  </si>
  <si>
    <t>ED-16602</t>
  </si>
  <si>
    <t>DISPOSITIVO DE PROTEÇÃO CONTRA SURTOS (DPS) MONOPOLAR, CORRENTE DE INTERRUPÇÃO 60KA, INCLUSIVE TERMINAL ILHÓS</t>
  </si>
  <si>
    <t>ED-9194</t>
  </si>
  <si>
    <t>CABO UTP COM QUATRO (4) PARES, CATEGORIA 6, CLASSIFICAÇÃO LSZH, COM ISOLAMENTO NÃO HALOGENADO E ANTICHAMA, EXCLUSIVE CONECTOR/PLUG MACHO RJ45 E CRIMPAGEM</t>
  </si>
  <si>
    <t>ED-49149</t>
  </si>
  <si>
    <t>CAIXA DE PASSAGEM, DIMENSÃO (20X20)CM, EM CHAPA DE AÇO, TIPO DE EMBUTIR, COM ACABAMENTO EM PINTURA ELETROSTÁTICA E TAMPA CEGA, INCLUSIVE FIXAÇÃO EM ALVENARIA</t>
  </si>
  <si>
    <t>FORNECIMENTO DE CONCRETO ESTRUTURAL, PREPARADO EM OBRA COM BETONEIRA, COM FCK 25MPA, INCLUSIVE LANÇAMENTO, ADENSAMENTO E ACABAMENTO</t>
  </si>
  <si>
    <t>(5,20+6,90+3,34+3,68+3,34+4,88+2,65+7,75+3,58+4,19+7,61+5,58+8,68+4,19) - áreas úteis dos ambientes internos indicadas no projeto arquitetônico + (6,00*6,00)+(5,00*12,00)+(7,85*1,65)+((9,70+2,73)*3)+((2,65+0,60)*0,60)+(1,50*0,60)+(3,40*0,60)+(6,55*1,35)+(6,00*5,70)+(6,00*5,70) - Piso externo, estacionamento para ambulância, área de higienização das ambulâncias.</t>
  </si>
  <si>
    <t>ED-49788</t>
  </si>
  <si>
    <t>((6,00*6,00)+(5,00*12,00)+(7,85*1,65)+((9,70+2,73)*3)+((2,65+0,60)*0,60)+(1,50*0,60)+(3,40*0,60)+(6,55*1,35)+(6,00*5,70)+(6,00*5,70))*(0,08) - Piso externo, estacionamento para ambulância, área de higienização das ambulâncias.</t>
  </si>
  <si>
    <t>FORNECIMENTO DE CONCRETO ESTRUTURAL, PREPARADO EM OBRA COM BETONEIRA, COM FCK 30MPA, INCLUSIVE LANÇAMENTO, ADENSAMENTO E ACABAMENTO (FUNDAÇÃO) ESP= 8,00 CM</t>
  </si>
  <si>
    <t>ED-50619</t>
  </si>
  <si>
    <t>POLIMENTO MECANIZADO DE SUPERFÍCIE EM CONCRETO, INCLUSIVE ACABAMENTO DE CONCRETAGEM EM NIVELAMENTO A LASER (</t>
  </si>
  <si>
    <t>((6,00*6,00)+(5,00*12,00)+(7,85*1,65)+((9,70+2,73)*3)+((2,65+0,60)*0,60)+(1,50*0,60)+(3,40*0,60)+(6,55*1,35)+(6,00*5,70)+(6,00*5,70)) - Piso externo, estacionamento para ambulância, área de higienização das ambulâncias.</t>
  </si>
  <si>
    <t>5.2.10</t>
  </si>
  <si>
    <t>ED-50754</t>
  </si>
  <si>
    <t>REVESTIMENTO COM PORCELANATO APLICADO EM PISO, ACABAMENTO POLÍDO, AMBIENTE INTERNO, PADRÃO EXTRA, BORDA RETIFICADA, DIMENSÃO DA PEÇA (60X60)CM, ASSENTAMENTO COM ARGAMASSA INDUSTRIALIZADA, INCLUSIVE REJUNTAMENTO</t>
  </si>
  <si>
    <t>(5,20+6,90+3,34+3,68+3,34+4,88+2,65+7,75+3,58+4,19+7,61+5,58+8,68+4,19) + 20% (RODAPÉ DE 15CM E CORTES) - áreas úteis dos ambientes internos indicadas no projeto arquitetônico</t>
  </si>
  <si>
    <t>ED-51144</t>
  </si>
  <si>
    <t>PASSEIOS DE CONCRETO E = 8 CM, FCK = 15 MPA PADRÃO PREFEITURA</t>
  </si>
  <si>
    <t>ED-50474</t>
  </si>
  <si>
    <t>EMASSAMENTO EM PAREDE COM MASSA ACRÍLICA, DUAS (2) DEMÃOS, INCLUSIVE LIXAMENTO PARA PINTURA</t>
  </si>
  <si>
    <t>ED-50480</t>
  </si>
  <si>
    <t>EMASSAMENTO EM TETO COM MASSA CORRIDA (PVA), DUAS (2) DEMÃOS, INCLUSIVE LIXAMENTO PARA PINTURA</t>
  </si>
  <si>
    <t>5.3.5</t>
  </si>
  <si>
    <t>5.3.6</t>
  </si>
  <si>
    <t>ED-48343</t>
  </si>
  <si>
    <t>BANCADA EM GRANITO CINZA ANDORINHA E = 3 CM, APOIADA EM CONSOLE DE METALON 20 X 30 MM</t>
  </si>
  <si>
    <t>CANTEIRO DE OBRAS, MOBILIZAÇÃO E DESMOBILIZAÇÃO, PROJETOS COMPLEMENTARES</t>
  </si>
  <si>
    <t>CO-27422</t>
  </si>
  <si>
    <t>PROJETO EXECUTIVO DE ARQUITETURA</t>
  </si>
  <si>
    <t>PR A1</t>
  </si>
  <si>
    <t>CO-27426</t>
  </si>
  <si>
    <t>PROJETO EXECUTIVO DE DRENAGEM PLUVIAL</t>
  </si>
  <si>
    <t>CO-27427</t>
  </si>
  <si>
    <t>PROJETO EXECUTIVO DE ESTRUTURA DE CONCRETO</t>
  </si>
  <si>
    <t>CO-27428</t>
  </si>
  <si>
    <t>PROJETO EXECUTIVO DE ESTRUTURA METÁLICA</t>
  </si>
  <si>
    <t>CO-27433</t>
  </si>
  <si>
    <t>PROJETO EXECUTIVO DE INFRAESTRUTURA DE CABEAMENTO ESTRUTURADO/CFTV/ALARME/SEGURANÇA/SONORIZAÇÃO</t>
  </si>
  <si>
    <t>CO-27431</t>
  </si>
  <si>
    <t>PROJETO EXECUTIVO DE INSTALAÇÕES ELÉTRICAS</t>
  </si>
  <si>
    <t>CO-27430</t>
  </si>
  <si>
    <t>PROJETO EXECUTIVO DE INSTALAÇÕES HIDROSSANITÁRIAS</t>
  </si>
  <si>
    <t>CO-27468</t>
  </si>
  <si>
    <t>PROJETO EXECUTIVO DE PREVENÇÃO E COMBATE A INCÊNDIO</t>
  </si>
  <si>
    <t>CO-27434</t>
  </si>
  <si>
    <t>PROJETO EXECUTIVO DE SPDA</t>
  </si>
  <si>
    <t>1.6</t>
  </si>
  <si>
    <t>1.7</t>
  </si>
  <si>
    <t>1.8</t>
  </si>
  <si>
    <t>1.9</t>
  </si>
  <si>
    <t>1.10</t>
  </si>
  <si>
    <t>1.11</t>
  </si>
  <si>
    <t>REGIÃO/MÊS DE REFERÊNCIA: SEINFRA/REGIÃO TRIÂNGULO E ALTO PARANAÍBA JANEIRO/2025 COM DESONERAÇÃO</t>
  </si>
  <si>
    <t>MÊS 05</t>
  </si>
  <si>
    <t>MÊS 06</t>
  </si>
  <si>
    <t>VALOR TOTAL DA OBRA COM BDI:</t>
  </si>
  <si>
    <t xml:space="preserve">Adotado BDI "CONSTRUÇÃO DE EDIFÍCIOS" da planilha de preços SEINFRA/REGIÃOTRIÂNGULO E ALTO PARANAÍBAJANEIRO/2025 COM DESONERAÇÃO </t>
  </si>
  <si>
    <t>ED-16320</t>
  </si>
  <si>
    <t>5.1.6</t>
  </si>
  <si>
    <t>MURO DIVISÓRIO DE TIJOLO FURADO COM ALTURA 250CM, COM PILARETES DE 16X9CM A CADA 250CM, SAPATA DE CONCRETO ARMADO 30X20CM E PINGADEIRA, REBOCADO E PINTADO A LÁTEX, INCLUSIVE ESCAVAÇÃO, APILOAMENTO E LASTRO</t>
  </si>
  <si>
    <t>MURO EM TODO PERÍMETRO DO TERRENO - (30,47+12+27)</t>
  </si>
  <si>
    <t>(14,00+27,00*2,00)- área de piso do passeio.</t>
  </si>
  <si>
    <t>PREFEITURA MUNICIPAL DE BONFINÓPOLIS DE MINAS - MG</t>
  </si>
  <si>
    <t>LOCAL: RUA OURO PRETO, S/N, BAIRRO JARDIM CINELÂNDIA- BONFINÓPOLIS DE MINAS – MG, CEP 38.650-000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</si>
</sst>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43" formatCode="_-* #,##0.00_-;\-* #,##0.00_-;_-* &quot;-&quot;??_-;_-@_-"/>
    <numFmt numFmtId="164" formatCode="_(* #,##0.00_);_(* \(#,##0.00\);_(* &quot;-&quot;??_);_(@_)"/>
    <numFmt numFmtId="165" formatCode="&quot;R$&quot;\ #,##0.00"/>
    <numFmt numFmtId="166" formatCode="&quot;R$&quot;\ #,##0.000"/>
    <numFmt numFmtId="168" formatCode="0.0%"/>
  </numFmts>
  <fonts count="36" x14ac:knownFonts="1">
    <font>
      <sz val="10"/>
      <name val="Arial"/>
    </font>
    <font>
      <sz val="11"/>
      <color theme="1"/>
      <name val="Calibri"/>
      <family val="2"/>
      <scheme val="minor"/>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0"/>
      <name val="Arial"/>
      <family val="2"/>
    </font>
    <font>
      <sz val="8"/>
      <name val="Arial"/>
      <family val="2"/>
    </font>
    <font>
      <sz val="8"/>
      <color rgb="FFFF0000"/>
      <name val="Arial"/>
      <family val="2"/>
    </font>
    <font>
      <b/>
      <sz val="8"/>
      <name val="Arial"/>
      <family val="2"/>
    </font>
    <font>
      <sz val="8"/>
      <name val="Calibri"/>
      <family val="2"/>
      <scheme val="minor"/>
    </font>
    <font>
      <b/>
      <sz val="8"/>
      <name val="Calibri"/>
      <family val="2"/>
      <scheme val="minor"/>
    </font>
    <font>
      <sz val="10"/>
      <color rgb="FFFF0000"/>
      <name val="Arial"/>
      <family val="2"/>
    </font>
    <font>
      <b/>
      <sz val="8"/>
      <color indexed="8"/>
      <name val="Arial"/>
      <family val="2"/>
    </font>
    <font>
      <sz val="8"/>
      <color indexed="8"/>
      <name val="Arial"/>
      <family val="2"/>
    </font>
    <font>
      <sz val="8"/>
      <color theme="1"/>
      <name val="Arial"/>
      <family val="2"/>
    </font>
    <font>
      <b/>
      <sz val="8"/>
      <color theme="1"/>
      <name val="Arial"/>
      <family val="2"/>
    </font>
    <font>
      <sz val="8"/>
      <color indexed="12"/>
      <name val="Arial"/>
      <family val="2"/>
    </font>
    <font>
      <sz val="7"/>
      <name val="Arial"/>
      <family val="2"/>
    </font>
    <font>
      <sz val="10"/>
      <name val="Calibri"/>
      <family val="2"/>
      <scheme val="minor"/>
    </font>
    <font>
      <sz val="11"/>
      <color rgb="FF000000"/>
      <name val="Arial"/>
      <family val="2"/>
    </font>
    <font>
      <sz val="10"/>
      <name val="Arial"/>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22"/>
        <bgColor indexed="64"/>
      </patternFill>
    </fill>
  </fills>
  <borders count="4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9">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4" borderId="0" applyNumberFormat="0" applyBorder="0" applyAlignment="0" applyProtection="0"/>
    <xf numFmtId="0" fontId="6" fillId="16" borderId="1" applyNumberFormat="0" applyAlignment="0" applyProtection="0"/>
    <xf numFmtId="0" fontId="7" fillId="17" borderId="2" applyNumberFormat="0" applyAlignment="0" applyProtection="0"/>
    <xf numFmtId="0" fontId="8" fillId="0" borderId="3" applyNumberFormat="0" applyFill="0" applyAlignment="0" applyProtection="0"/>
    <xf numFmtId="0" fontId="4"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1" borderId="0" applyNumberFormat="0" applyBorder="0" applyAlignment="0" applyProtection="0"/>
    <xf numFmtId="0" fontId="9" fillId="7" borderId="1" applyNumberFormat="0" applyAlignment="0" applyProtection="0"/>
    <xf numFmtId="0" fontId="10" fillId="3" borderId="0" applyNumberFormat="0" applyBorder="0" applyAlignment="0" applyProtection="0"/>
    <xf numFmtId="0" fontId="11" fillId="22" borderId="0" applyNumberFormat="0" applyBorder="0" applyAlignment="0" applyProtection="0"/>
    <xf numFmtId="0" fontId="2" fillId="23" borderId="4" applyNumberFormat="0" applyFont="0" applyAlignment="0" applyProtection="0"/>
    <xf numFmtId="9" fontId="2" fillId="0" borderId="0" applyFont="0" applyFill="0" applyBorder="0" applyAlignment="0" applyProtection="0"/>
    <xf numFmtId="0" fontId="12" fillId="16" borderId="5" applyNumberFormat="0" applyAlignment="0" applyProtection="0"/>
    <xf numFmtId="164" fontId="2" fillId="0" borderId="0" applyFon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6" applyNumberFormat="0" applyFill="0" applyAlignment="0" applyProtection="0"/>
    <xf numFmtId="0" fontId="17" fillId="0" borderId="7" applyNumberFormat="0" applyFill="0" applyAlignment="0" applyProtection="0"/>
    <xf numFmtId="0" fontId="18" fillId="0" borderId="8" applyNumberFormat="0" applyFill="0" applyAlignment="0" applyProtection="0"/>
    <xf numFmtId="0" fontId="18" fillId="0" borderId="0" applyNumberFormat="0" applyFill="0" applyBorder="0" applyAlignment="0" applyProtection="0"/>
    <xf numFmtId="0" fontId="19" fillId="0" borderId="9" applyNumberFormat="0" applyFill="0" applyAlignment="0" applyProtection="0"/>
    <xf numFmtId="43" fontId="1" fillId="0" borderId="0" applyFont="0" applyFill="0" applyBorder="0" applyAlignment="0" applyProtection="0"/>
    <xf numFmtId="0" fontId="2" fillId="0" borderId="0"/>
    <xf numFmtId="0" fontId="2" fillId="0" borderId="0"/>
    <xf numFmtId="0" fontId="34" fillId="0" borderId="0"/>
    <xf numFmtId="44" fontId="35" fillId="0" borderId="0" applyFont="0" applyFill="0" applyBorder="0" applyAlignment="0" applyProtection="0"/>
  </cellStyleXfs>
  <cellXfs count="301">
    <xf numFmtId="0" fontId="0" fillId="0" borderId="0" xfId="0"/>
    <xf numFmtId="0" fontId="20" fillId="0" borderId="10" xfId="0" applyFont="1" applyBorder="1" applyAlignment="1">
      <alignment vertical="center"/>
    </xf>
    <xf numFmtId="0" fontId="20" fillId="0" borderId="13" xfId="0" applyFont="1" applyBorder="1" applyAlignment="1">
      <alignment vertical="center"/>
    </xf>
    <xf numFmtId="49" fontId="2" fillId="0" borderId="0" xfId="0" applyNumberFormat="1" applyFont="1" applyAlignment="1">
      <alignment horizontal="center" vertical="center"/>
    </xf>
    <xf numFmtId="0" fontId="2" fillId="0" borderId="0" xfId="0" applyFont="1" applyAlignment="1">
      <alignment horizontal="center" vertical="center"/>
    </xf>
    <xf numFmtId="4" fontId="2" fillId="0" borderId="0" xfId="0" applyNumberFormat="1" applyFont="1" applyAlignment="1">
      <alignment horizontal="center" vertical="center"/>
    </xf>
    <xf numFmtId="4" fontId="20" fillId="0" borderId="10" xfId="0" applyNumberFormat="1" applyFont="1" applyBorder="1" applyAlignment="1">
      <alignment horizontal="center" vertical="center" wrapText="1"/>
    </xf>
    <xf numFmtId="0" fontId="2" fillId="0" borderId="12" xfId="0" applyFont="1" applyBorder="1" applyAlignment="1">
      <alignment vertical="center"/>
    </xf>
    <xf numFmtId="0" fontId="2" fillId="0" borderId="13" xfId="0" applyFont="1" applyBorder="1" applyAlignment="1">
      <alignment vertical="center"/>
    </xf>
    <xf numFmtId="0" fontId="2" fillId="0" borderId="17" xfId="0" applyFont="1" applyBorder="1" applyAlignment="1">
      <alignment vertical="center"/>
    </xf>
    <xf numFmtId="49" fontId="20" fillId="0" borderId="12" xfId="0" applyNumberFormat="1" applyFont="1" applyBorder="1" applyAlignment="1">
      <alignment vertical="center"/>
    </xf>
    <xf numFmtId="0" fontId="20" fillId="0" borderId="13" xfId="0" applyFont="1" applyBorder="1" applyAlignment="1">
      <alignment vertical="center" wrapText="1"/>
    </xf>
    <xf numFmtId="4" fontId="2" fillId="0" borderId="13" xfId="0" applyNumberFormat="1" applyFont="1" applyBorder="1" applyAlignment="1">
      <alignment horizontal="center" vertical="center"/>
    </xf>
    <xf numFmtId="0" fontId="2" fillId="0" borderId="0" xfId="0" applyFont="1" applyAlignment="1">
      <alignment vertical="center"/>
    </xf>
    <xf numFmtId="0" fontId="2" fillId="0" borderId="0" xfId="0" applyFont="1" applyAlignment="1">
      <alignment horizontal="left" vertical="center" wrapText="1"/>
    </xf>
    <xf numFmtId="0" fontId="2" fillId="0" borderId="13" xfId="0" applyFont="1" applyBorder="1" applyAlignment="1">
      <alignment horizontal="center" vertical="center"/>
    </xf>
    <xf numFmtId="0" fontId="20" fillId="0" borderId="12" xfId="0" applyFont="1" applyBorder="1" applyAlignment="1">
      <alignment horizontal="left" vertical="center"/>
    </xf>
    <xf numFmtId="0" fontId="20" fillId="0" borderId="0" xfId="0" applyFont="1" applyAlignment="1">
      <alignment vertical="center"/>
    </xf>
    <xf numFmtId="0" fontId="20" fillId="0" borderId="0" xfId="0" applyFont="1" applyAlignment="1">
      <alignment horizontal="left" vertical="center" wrapText="1"/>
    </xf>
    <xf numFmtId="0" fontId="2" fillId="0" borderId="0" xfId="0" applyFont="1" applyAlignment="1">
      <alignment vertical="center" wrapText="1"/>
    </xf>
    <xf numFmtId="4" fontId="2" fillId="0" borderId="17" xfId="0" applyNumberFormat="1" applyFont="1" applyBorder="1" applyAlignment="1">
      <alignment horizontal="center" vertical="center"/>
    </xf>
    <xf numFmtId="4" fontId="20" fillId="0" borderId="13" xfId="0" applyNumberFormat="1" applyFont="1" applyBorder="1" applyAlignment="1">
      <alignment horizontal="center" vertical="center"/>
    </xf>
    <xf numFmtId="49" fontId="2" fillId="0" borderId="16" xfId="0" applyNumberFormat="1" applyFont="1" applyBorder="1" applyAlignment="1">
      <alignment horizontal="center" vertical="center"/>
    </xf>
    <xf numFmtId="0" fontId="2" fillId="0" borderId="19" xfId="0" applyFont="1" applyBorder="1" applyAlignment="1">
      <alignment horizontal="center" vertical="center"/>
    </xf>
    <xf numFmtId="0" fontId="2" fillId="0" borderId="19" xfId="0" applyFont="1" applyBorder="1" applyAlignment="1">
      <alignment horizontal="left" vertical="center" wrapText="1"/>
    </xf>
    <xf numFmtId="0" fontId="20" fillId="0" borderId="18" xfId="0" applyFont="1" applyBorder="1" applyAlignment="1">
      <alignment vertical="center"/>
    </xf>
    <xf numFmtId="49" fontId="2" fillId="0" borderId="18" xfId="0" applyNumberFormat="1" applyFont="1" applyBorder="1" applyAlignment="1">
      <alignment horizontal="center" vertical="center"/>
    </xf>
    <xf numFmtId="0" fontId="20" fillId="0" borderId="0" xfId="0" applyFont="1" applyAlignment="1">
      <alignment vertical="center" wrapText="1"/>
    </xf>
    <xf numFmtId="0" fontId="2" fillId="0" borderId="25" xfId="0" applyFont="1" applyBorder="1" applyAlignment="1">
      <alignment vertical="center" wrapText="1"/>
    </xf>
    <xf numFmtId="0" fontId="2" fillId="0" borderId="16" xfId="0" applyFont="1" applyBorder="1" applyAlignment="1">
      <alignment horizontal="center" vertical="center" wrapText="1"/>
    </xf>
    <xf numFmtId="0" fontId="2" fillId="0" borderId="19" xfId="0" applyFont="1" applyBorder="1" applyAlignment="1">
      <alignment horizontal="center" vertical="center" wrapText="1"/>
    </xf>
    <xf numFmtId="165" fontId="2" fillId="0" borderId="0" xfId="0" applyNumberFormat="1" applyFont="1" applyAlignment="1">
      <alignment horizontal="center" vertical="center" wrapText="1"/>
    </xf>
    <xf numFmtId="165" fontId="20" fillId="0" borderId="0" xfId="0" applyNumberFormat="1" applyFont="1" applyAlignment="1">
      <alignment horizontal="center" vertical="center" wrapText="1"/>
    </xf>
    <xf numFmtId="165" fontId="20" fillId="0" borderId="25" xfId="0" applyNumberFormat="1" applyFont="1" applyBorder="1" applyAlignment="1">
      <alignment horizontal="center" vertical="center" wrapText="1"/>
    </xf>
    <xf numFmtId="0" fontId="20" fillId="0" borderId="25" xfId="0" applyFont="1" applyBorder="1" applyAlignment="1">
      <alignment vertical="center"/>
    </xf>
    <xf numFmtId="165" fontId="2" fillId="0" borderId="23" xfId="0" applyNumberFormat="1" applyFont="1" applyBorder="1" applyAlignment="1">
      <alignment horizontal="center" vertical="center" wrapText="1"/>
    </xf>
    <xf numFmtId="10" fontId="20" fillId="0" borderId="22" xfId="0" applyNumberFormat="1" applyFont="1" applyBorder="1" applyAlignment="1">
      <alignment horizontal="center" vertical="center" wrapText="1"/>
    </xf>
    <xf numFmtId="165" fontId="20" fillId="0" borderId="23" xfId="0" applyNumberFormat="1" applyFont="1" applyBorder="1" applyAlignment="1">
      <alignment horizontal="center" vertical="center" wrapText="1"/>
    </xf>
    <xf numFmtId="0" fontId="20" fillId="0" borderId="0" xfId="0" applyFont="1" applyAlignment="1">
      <alignment horizontal="center" vertical="center" wrapText="1"/>
    </xf>
    <xf numFmtId="10" fontId="20" fillId="0" borderId="17" xfId="33" applyNumberFormat="1" applyFont="1" applyFill="1" applyBorder="1" applyAlignment="1">
      <alignment horizontal="left" vertical="center"/>
    </xf>
    <xf numFmtId="10" fontId="2" fillId="0" borderId="22" xfId="0" applyNumberFormat="1" applyFont="1" applyBorder="1" applyAlignment="1">
      <alignment horizontal="center" vertical="center" wrapText="1"/>
    </xf>
    <xf numFmtId="0" fontId="2" fillId="0" borderId="14" xfId="0" applyFont="1" applyBorder="1" applyAlignment="1">
      <alignment vertical="center"/>
    </xf>
    <xf numFmtId="0" fontId="2" fillId="0" borderId="24" xfId="0" applyFont="1" applyBorder="1" applyAlignment="1">
      <alignment vertical="center"/>
    </xf>
    <xf numFmtId="0" fontId="2" fillId="0" borderId="20" xfId="0" applyFont="1" applyBorder="1" applyAlignment="1">
      <alignment vertical="center"/>
    </xf>
    <xf numFmtId="0" fontId="20" fillId="0" borderId="12" xfId="0" applyFont="1" applyBorder="1" applyAlignment="1">
      <alignment vertical="center"/>
    </xf>
    <xf numFmtId="0" fontId="20" fillId="0" borderId="17" xfId="0" applyFont="1" applyBorder="1" applyAlignment="1">
      <alignment vertical="center"/>
    </xf>
    <xf numFmtId="165" fontId="2" fillId="0" borderId="0" xfId="0" applyNumberFormat="1" applyFont="1" applyAlignment="1">
      <alignment vertical="center"/>
    </xf>
    <xf numFmtId="0" fontId="2" fillId="0" borderId="16" xfId="0" applyFont="1" applyBorder="1" applyAlignment="1">
      <alignment vertical="center"/>
    </xf>
    <xf numFmtId="0" fontId="2" fillId="0" borderId="19" xfId="0" applyFont="1" applyBorder="1" applyAlignment="1">
      <alignment vertical="center"/>
    </xf>
    <xf numFmtId="0" fontId="2" fillId="0" borderId="21" xfId="0" applyFont="1" applyBorder="1" applyAlignment="1">
      <alignment vertical="center"/>
    </xf>
    <xf numFmtId="0" fontId="20" fillId="0" borderId="0" xfId="0" applyFont="1" applyAlignment="1">
      <alignment horizontal="center"/>
    </xf>
    <xf numFmtId="0" fontId="21" fillId="0" borderId="10" xfId="0" applyFont="1" applyBorder="1" applyAlignment="1">
      <alignment horizontal="center" vertical="center"/>
    </xf>
    <xf numFmtId="0" fontId="21" fillId="0" borderId="0" xfId="0" applyFont="1" applyAlignment="1">
      <alignment vertical="center"/>
    </xf>
    <xf numFmtId="0" fontId="22" fillId="0" borderId="0" xfId="0" applyFont="1" applyAlignment="1">
      <alignment vertical="center"/>
    </xf>
    <xf numFmtId="0" fontId="2" fillId="0" borderId="13" xfId="0" applyFont="1" applyBorder="1" applyAlignment="1">
      <alignment vertical="center" wrapText="1"/>
    </xf>
    <xf numFmtId="0" fontId="20" fillId="0" borderId="17" xfId="0" applyFont="1" applyBorder="1" applyAlignment="1">
      <alignment vertical="center" wrapText="1"/>
    </xf>
    <xf numFmtId="4" fontId="20" fillId="0" borderId="13" xfId="0" applyNumberFormat="1" applyFont="1" applyBorder="1" applyAlignment="1">
      <alignment horizontal="right" vertical="center"/>
    </xf>
    <xf numFmtId="0" fontId="23" fillId="0" borderId="0" xfId="0" applyFont="1" applyAlignment="1">
      <alignment vertical="center"/>
    </xf>
    <xf numFmtId="4" fontId="20" fillId="0" borderId="0" xfId="0" applyNumberFormat="1" applyFont="1" applyAlignment="1">
      <alignment vertical="center" wrapText="1"/>
    </xf>
    <xf numFmtId="4" fontId="20" fillId="0" borderId="25" xfId="0" applyNumberFormat="1" applyFont="1" applyBorder="1" applyAlignment="1">
      <alignment vertical="center" wrapText="1"/>
    </xf>
    <xf numFmtId="4" fontId="20" fillId="0" borderId="19" xfId="0" applyNumberFormat="1" applyFont="1" applyBorder="1" applyAlignment="1">
      <alignment vertical="center" wrapText="1"/>
    </xf>
    <xf numFmtId="4" fontId="20" fillId="0" borderId="21" xfId="0" applyNumberFormat="1" applyFont="1" applyBorder="1" applyAlignment="1">
      <alignment vertical="center" wrapText="1"/>
    </xf>
    <xf numFmtId="0" fontId="25" fillId="0" borderId="0" xfId="0" applyFont="1" applyAlignment="1">
      <alignment horizontal="center" vertical="center" wrapText="1"/>
    </xf>
    <xf numFmtId="2" fontId="24" fillId="0" borderId="0" xfId="0" applyNumberFormat="1" applyFont="1" applyAlignment="1">
      <alignment horizontal="center" vertical="center"/>
    </xf>
    <xf numFmtId="165" fontId="24" fillId="0" borderId="0" xfId="0" applyNumberFormat="1" applyFont="1" applyAlignment="1">
      <alignment horizontal="center" vertical="center"/>
    </xf>
    <xf numFmtId="0" fontId="2" fillId="0" borderId="0" xfId="0" applyFont="1" applyAlignment="1">
      <alignment horizontal="center" vertical="center" wrapText="1"/>
    </xf>
    <xf numFmtId="0" fontId="20" fillId="0" borderId="18" xfId="0" applyFont="1" applyBorder="1" applyAlignment="1">
      <alignment horizontal="center" vertical="center" wrapText="1"/>
    </xf>
    <xf numFmtId="49" fontId="20" fillId="0" borderId="18" xfId="0" applyNumberFormat="1" applyFont="1" applyBorder="1" applyAlignment="1">
      <alignment vertical="center" wrapText="1"/>
    </xf>
    <xf numFmtId="4" fontId="20" fillId="0" borderId="0" xfId="0" applyNumberFormat="1" applyFont="1" applyAlignment="1">
      <alignment horizontal="center" vertical="center" wrapText="1"/>
    </xf>
    <xf numFmtId="49" fontId="2"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0" fillId="0" borderId="17" xfId="0" applyFont="1" applyBorder="1" applyAlignment="1">
      <alignment horizontal="left" vertical="center"/>
    </xf>
    <xf numFmtId="0" fontId="20" fillId="0" borderId="13" xfId="0" applyFont="1" applyBorder="1" applyAlignment="1">
      <alignment horizontal="left" vertical="center"/>
    </xf>
    <xf numFmtId="2" fontId="20" fillId="0" borderId="0" xfId="0" applyNumberFormat="1" applyFont="1" applyAlignment="1">
      <alignment vertical="center" wrapText="1"/>
    </xf>
    <xf numFmtId="2" fontId="20" fillId="0" borderId="25" xfId="0" applyNumberFormat="1" applyFont="1" applyBorder="1" applyAlignment="1">
      <alignment vertical="center" wrapText="1"/>
    </xf>
    <xf numFmtId="2" fontId="20" fillId="0" borderId="19" xfId="0" applyNumberFormat="1" applyFont="1" applyBorder="1" applyAlignment="1">
      <alignment vertical="center" wrapText="1"/>
    </xf>
    <xf numFmtId="2" fontId="20" fillId="0" borderId="21" xfId="0" applyNumberFormat="1" applyFont="1" applyBorder="1" applyAlignment="1">
      <alignment vertical="center" wrapText="1"/>
    </xf>
    <xf numFmtId="0" fontId="20" fillId="0" borderId="18" xfId="0" applyFont="1" applyBorder="1" applyAlignment="1">
      <alignment vertical="center" wrapText="1"/>
    </xf>
    <xf numFmtId="0" fontId="20" fillId="0" borderId="0" xfId="0" applyFont="1" applyAlignment="1">
      <alignment horizontal="left" vertical="center"/>
    </xf>
    <xf numFmtId="0" fontId="20" fillId="0" borderId="10" xfId="0" applyFont="1" applyBorder="1" applyAlignment="1">
      <alignment horizontal="center" vertical="center" wrapText="1"/>
    </xf>
    <xf numFmtId="0" fontId="2" fillId="0" borderId="24" xfId="0" applyFont="1" applyBorder="1" applyAlignment="1">
      <alignment horizontal="left" vertical="center"/>
    </xf>
    <xf numFmtId="0" fontId="2" fillId="0" borderId="0" xfId="0" applyFont="1" applyAlignment="1">
      <alignment horizontal="left" vertical="center"/>
    </xf>
    <xf numFmtId="0" fontId="2" fillId="0" borderId="19" xfId="0" applyFont="1" applyBorder="1" applyAlignment="1">
      <alignment horizontal="left" vertical="center"/>
    </xf>
    <xf numFmtId="49" fontId="21" fillId="0" borderId="12" xfId="0" applyNumberFormat="1" applyFont="1" applyBorder="1" applyAlignment="1">
      <alignment horizontal="center" vertical="center" wrapText="1"/>
    </xf>
    <xf numFmtId="0" fontId="21" fillId="0" borderId="13" xfId="0" applyFont="1" applyBorder="1" applyAlignment="1">
      <alignment horizontal="center" vertical="center" wrapText="1"/>
    </xf>
    <xf numFmtId="0" fontId="21" fillId="0" borderId="13" xfId="0" applyFont="1" applyBorder="1" applyAlignment="1">
      <alignment horizontal="left" vertical="center" wrapText="1"/>
    </xf>
    <xf numFmtId="4" fontId="21" fillId="0" borderId="13" xfId="0" applyNumberFormat="1" applyFont="1" applyBorder="1" applyAlignment="1">
      <alignment horizontal="center" vertical="center" wrapText="1"/>
    </xf>
    <xf numFmtId="0" fontId="21" fillId="0" borderId="17" xfId="0" applyFont="1" applyBorder="1" applyAlignment="1">
      <alignment horizontal="center" vertical="center" wrapText="1"/>
    </xf>
    <xf numFmtId="0" fontId="21" fillId="0" borderId="0" xfId="0" applyFont="1" applyAlignment="1">
      <alignment vertical="center" wrapText="1"/>
    </xf>
    <xf numFmtId="10" fontId="20" fillId="0" borderId="23" xfId="0" applyNumberFormat="1" applyFont="1" applyBorder="1" applyAlignment="1">
      <alignment horizontal="center" vertical="center" wrapText="1"/>
    </xf>
    <xf numFmtId="4" fontId="25" fillId="0" borderId="0" xfId="0" applyNumberFormat="1" applyFont="1" applyAlignment="1">
      <alignment vertical="center"/>
    </xf>
    <xf numFmtId="0" fontId="25" fillId="0" borderId="0" xfId="0" applyFont="1" applyAlignment="1">
      <alignment horizontal="center" vertical="center"/>
    </xf>
    <xf numFmtId="0" fontId="24" fillId="0" borderId="0" xfId="0" applyFont="1" applyAlignment="1">
      <alignment horizontal="center" vertical="center"/>
    </xf>
    <xf numFmtId="4" fontId="26" fillId="0" borderId="0" xfId="0" applyNumberFormat="1" applyFont="1" applyAlignment="1">
      <alignment horizontal="center" vertical="center"/>
    </xf>
    <xf numFmtId="4" fontId="20" fillId="0" borderId="11" xfId="0" applyNumberFormat="1" applyFont="1" applyBorder="1" applyAlignment="1">
      <alignment horizontal="center" vertical="center"/>
    </xf>
    <xf numFmtId="49" fontId="20" fillId="0" borderId="11" xfId="0" applyNumberFormat="1" applyFont="1" applyBorder="1" applyAlignment="1">
      <alignment horizontal="center" vertical="center"/>
    </xf>
    <xf numFmtId="0" fontId="20" fillId="0" borderId="11" xfId="0" applyFont="1" applyBorder="1" applyAlignment="1">
      <alignment horizontal="center" vertical="center"/>
    </xf>
    <xf numFmtId="0" fontId="20" fillId="0" borderId="11" xfId="0" applyFont="1" applyBorder="1" applyAlignment="1">
      <alignment vertical="center" wrapText="1"/>
    </xf>
    <xf numFmtId="0" fontId="20" fillId="0" borderId="26" xfId="0" applyFont="1" applyBorder="1" applyAlignment="1">
      <alignment horizontal="center" vertical="center"/>
    </xf>
    <xf numFmtId="0" fontId="20" fillId="0" borderId="27" xfId="0" applyFont="1" applyBorder="1" applyAlignment="1">
      <alignment horizontal="center" vertical="center"/>
    </xf>
    <xf numFmtId="0" fontId="20" fillId="0" borderId="30" xfId="0" applyFont="1" applyBorder="1" applyAlignment="1">
      <alignment horizontal="center" vertical="center"/>
    </xf>
    <xf numFmtId="0" fontId="20" fillId="0" borderId="11" xfId="0" applyFont="1" applyBorder="1" applyAlignment="1">
      <alignment horizontal="center" vertical="center" wrapText="1"/>
    </xf>
    <xf numFmtId="166" fontId="21" fillId="0" borderId="0" xfId="0" applyNumberFormat="1" applyFont="1" applyAlignment="1">
      <alignment horizontal="center" vertical="center"/>
    </xf>
    <xf numFmtId="0" fontId="23" fillId="0" borderId="0" xfId="0" applyFont="1" applyAlignment="1">
      <alignment horizontal="center" vertical="center"/>
    </xf>
    <xf numFmtId="0" fontId="21" fillId="0" borderId="0" xfId="0" applyFont="1" applyAlignment="1">
      <alignment horizontal="center" vertical="center"/>
    </xf>
    <xf numFmtId="165" fontId="23" fillId="0" borderId="0" xfId="0" applyNumberFormat="1" applyFont="1" applyAlignment="1">
      <alignment horizontal="center" vertical="center"/>
    </xf>
    <xf numFmtId="0" fontId="22" fillId="0" borderId="0" xfId="0" applyFont="1" applyAlignment="1">
      <alignment horizontal="center" vertical="center"/>
    </xf>
    <xf numFmtId="165" fontId="21" fillId="0" borderId="0" xfId="0" applyNumberFormat="1" applyFont="1" applyAlignment="1">
      <alignment horizontal="center" vertical="center"/>
    </xf>
    <xf numFmtId="165" fontId="20" fillId="0" borderId="13" xfId="0" applyNumberFormat="1" applyFont="1" applyBorder="1" applyAlignment="1">
      <alignment horizontal="right" vertical="center"/>
    </xf>
    <xf numFmtId="0" fontId="20" fillId="0" borderId="18" xfId="0" applyFont="1" applyBorder="1" applyAlignment="1">
      <alignment horizontal="center" vertical="center"/>
    </xf>
    <xf numFmtId="0" fontId="20" fillId="0" borderId="0" xfId="0" applyFont="1" applyAlignment="1">
      <alignment horizontal="center" vertical="center"/>
    </xf>
    <xf numFmtId="0" fontId="20" fillId="0" borderId="10"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17" xfId="0" applyFont="1" applyBorder="1" applyAlignment="1">
      <alignment horizontal="center" vertical="center"/>
    </xf>
    <xf numFmtId="0" fontId="20" fillId="0" borderId="13" xfId="0" applyFont="1" applyBorder="1" applyAlignment="1">
      <alignment horizontal="center" vertical="center" wrapText="1"/>
    </xf>
    <xf numFmtId="49" fontId="20" fillId="0" borderId="11" xfId="0" applyNumberFormat="1" applyFont="1" applyBorder="1" applyAlignment="1">
      <alignment horizontal="center" vertical="center" wrapText="1"/>
    </xf>
    <xf numFmtId="0" fontId="20" fillId="0" borderId="35" xfId="0" applyFont="1" applyBorder="1" applyAlignment="1">
      <alignment horizontal="right" vertical="center" wrapText="1"/>
    </xf>
    <xf numFmtId="10" fontId="20" fillId="0" borderId="36" xfId="33" applyNumberFormat="1" applyFont="1" applyFill="1" applyBorder="1" applyAlignment="1">
      <alignment horizontal="left" vertical="center"/>
    </xf>
    <xf numFmtId="0" fontId="20" fillId="0" borderId="31" xfId="0" applyFont="1" applyBorder="1" applyAlignment="1">
      <alignment horizontal="center" vertical="center"/>
    </xf>
    <xf numFmtId="0" fontId="25" fillId="0" borderId="25" xfId="0" applyFont="1" applyBorder="1" applyAlignment="1">
      <alignment horizontal="center" vertical="center"/>
    </xf>
    <xf numFmtId="0" fontId="33" fillId="0" borderId="25" xfId="0" applyFont="1" applyBorder="1" applyAlignment="1">
      <alignment horizontal="center" vertical="center"/>
    </xf>
    <xf numFmtId="0" fontId="33" fillId="0" borderId="0" xfId="0" applyFont="1" applyAlignment="1">
      <alignment horizontal="center" vertical="center"/>
    </xf>
    <xf numFmtId="4" fontId="20" fillId="0" borderId="11" xfId="0" applyNumberFormat="1" applyFont="1" applyBorder="1" applyAlignment="1">
      <alignment horizontal="center" vertical="center" wrapText="1"/>
    </xf>
    <xf numFmtId="0" fontId="2" fillId="0" borderId="18" xfId="0" applyFont="1" applyBorder="1" applyAlignment="1">
      <alignment horizontal="center" vertical="center" wrapText="1"/>
    </xf>
    <xf numFmtId="0" fontId="20" fillId="0" borderId="12" xfId="0" applyFont="1" applyBorder="1" applyAlignment="1">
      <alignment horizontal="center" vertical="center" wrapText="1"/>
    </xf>
    <xf numFmtId="0" fontId="24" fillId="0" borderId="0" xfId="0" applyFont="1" applyAlignment="1">
      <alignment horizontal="center"/>
    </xf>
    <xf numFmtId="0" fontId="24" fillId="0" borderId="25" xfId="0" applyFont="1" applyBorder="1" applyAlignment="1">
      <alignment horizontal="center"/>
    </xf>
    <xf numFmtId="0" fontId="26" fillId="0" borderId="0" xfId="0" applyFont="1" applyAlignment="1">
      <alignment vertical="center"/>
    </xf>
    <xf numFmtId="0" fontId="26" fillId="0" borderId="0" xfId="0" applyFont="1" applyAlignment="1">
      <alignment horizontal="center" vertical="center"/>
    </xf>
    <xf numFmtId="0" fontId="21" fillId="0" borderId="18" xfId="0" applyFont="1" applyBorder="1" applyAlignment="1">
      <alignment vertical="center" wrapText="1"/>
    </xf>
    <xf numFmtId="0" fontId="21" fillId="0" borderId="25" xfId="0" applyFont="1" applyBorder="1" applyAlignment="1">
      <alignment vertical="center" wrapText="1"/>
    </xf>
    <xf numFmtId="0" fontId="20" fillId="0" borderId="12" xfId="0" applyFont="1" applyBorder="1" applyAlignment="1">
      <alignment horizontal="right" vertical="center"/>
    </xf>
    <xf numFmtId="0" fontId="20" fillId="0" borderId="17" xfId="0" applyFont="1" applyBorder="1" applyAlignment="1">
      <alignment horizontal="right" vertical="center"/>
    </xf>
    <xf numFmtId="0" fontId="21" fillId="0" borderId="10" xfId="0" applyFont="1" applyBorder="1" applyAlignment="1">
      <alignment wrapText="1"/>
    </xf>
    <xf numFmtId="0" fontId="21" fillId="0" borderId="10" xfId="0" applyFont="1" applyBorder="1"/>
    <xf numFmtId="0" fontId="29" fillId="24" borderId="10" xfId="0" applyFont="1" applyFill="1" applyBorder="1" applyAlignment="1">
      <alignment horizontal="center" vertical="center" wrapText="1"/>
    </xf>
    <xf numFmtId="0" fontId="21" fillId="24" borderId="10" xfId="0" applyFont="1" applyFill="1" applyBorder="1" applyAlignment="1">
      <alignment horizontal="center" vertical="center"/>
    </xf>
    <xf numFmtId="0" fontId="23" fillId="25" borderId="10" xfId="0" applyFont="1" applyFill="1" applyBorder="1" applyAlignment="1">
      <alignment horizontal="center" vertical="center"/>
    </xf>
    <xf numFmtId="49" fontId="23" fillId="25" borderId="10" xfId="0" applyNumberFormat="1" applyFont="1" applyFill="1" applyBorder="1" applyAlignment="1">
      <alignment horizontal="center" vertical="center"/>
    </xf>
    <xf numFmtId="49" fontId="23" fillId="25" borderId="10" xfId="0" applyNumberFormat="1" applyFont="1" applyFill="1" applyBorder="1" applyAlignment="1">
      <alignment vertical="center"/>
    </xf>
    <xf numFmtId="2" fontId="21" fillId="25" borderId="10" xfId="0" applyNumberFormat="1" applyFont="1" applyFill="1" applyBorder="1" applyAlignment="1">
      <alignment horizontal="center" vertical="center"/>
    </xf>
    <xf numFmtId="165" fontId="23" fillId="25" borderId="10" xfId="0" applyNumberFormat="1" applyFont="1" applyFill="1" applyBorder="1" applyAlignment="1">
      <alignment horizontal="center" vertical="center"/>
    </xf>
    <xf numFmtId="0" fontId="23" fillId="25" borderId="0" xfId="0" applyFont="1" applyFill="1" applyAlignment="1">
      <alignment vertical="center"/>
    </xf>
    <xf numFmtId="2" fontId="23" fillId="25" borderId="10" xfId="0" applyNumberFormat="1" applyFont="1" applyFill="1" applyBorder="1" applyAlignment="1">
      <alignment horizontal="center" vertical="center"/>
    </xf>
    <xf numFmtId="165" fontId="25" fillId="25" borderId="10" xfId="0" applyNumberFormat="1" applyFont="1" applyFill="1" applyBorder="1" applyAlignment="1">
      <alignment horizontal="center" vertical="center"/>
    </xf>
    <xf numFmtId="165" fontId="21" fillId="25" borderId="10" xfId="0" applyNumberFormat="1" applyFont="1" applyFill="1" applyBorder="1" applyAlignment="1">
      <alignment horizontal="center" vertical="center"/>
    </xf>
    <xf numFmtId="0" fontId="21" fillId="25" borderId="10" xfId="0" applyFont="1" applyFill="1" applyBorder="1" applyAlignment="1">
      <alignment horizontal="center" vertical="center"/>
    </xf>
    <xf numFmtId="49" fontId="21" fillId="25" borderId="10" xfId="0" applyNumberFormat="1" applyFont="1" applyFill="1" applyBorder="1" applyAlignment="1">
      <alignment horizontal="center" vertical="center"/>
    </xf>
    <xf numFmtId="2" fontId="23" fillId="25" borderId="10" xfId="35" applyNumberFormat="1" applyFont="1" applyFill="1" applyBorder="1" applyAlignment="1">
      <alignment horizontal="center" vertical="center"/>
    </xf>
    <xf numFmtId="0" fontId="23" fillId="26" borderId="10" xfId="0" applyFont="1" applyFill="1" applyBorder="1" applyAlignment="1">
      <alignment horizontal="center" vertical="center"/>
    </xf>
    <xf numFmtId="49" fontId="23" fillId="26" borderId="10" xfId="0" applyNumberFormat="1" applyFont="1" applyFill="1" applyBorder="1" applyAlignment="1">
      <alignment horizontal="center" vertical="center"/>
    </xf>
    <xf numFmtId="49" fontId="23" fillId="26" borderId="10" xfId="0" applyNumberFormat="1" applyFont="1" applyFill="1" applyBorder="1" applyAlignment="1">
      <alignment vertical="center"/>
    </xf>
    <xf numFmtId="2" fontId="21" fillId="26" borderId="10" xfId="0" applyNumberFormat="1" applyFont="1" applyFill="1" applyBorder="1" applyAlignment="1">
      <alignment horizontal="center" vertical="center"/>
    </xf>
    <xf numFmtId="165" fontId="23" fillId="26" borderId="10" xfId="0" applyNumberFormat="1" applyFont="1" applyFill="1" applyBorder="1" applyAlignment="1">
      <alignment horizontal="center" vertical="center"/>
    </xf>
    <xf numFmtId="165" fontId="21" fillId="26" borderId="10" xfId="0" applyNumberFormat="1" applyFont="1" applyFill="1" applyBorder="1" applyAlignment="1">
      <alignment horizontal="center" vertical="center"/>
    </xf>
    <xf numFmtId="165" fontId="25" fillId="26" borderId="10" xfId="0" applyNumberFormat="1" applyFont="1" applyFill="1" applyBorder="1" applyAlignment="1">
      <alignment horizontal="center" vertical="center"/>
    </xf>
    <xf numFmtId="49" fontId="23" fillId="26" borderId="10" xfId="0" applyNumberFormat="1" applyFont="1" applyFill="1" applyBorder="1" applyAlignment="1">
      <alignment horizontal="center" vertical="center" wrapText="1"/>
    </xf>
    <xf numFmtId="2" fontId="21" fillId="26" borderId="10" xfId="0" applyNumberFormat="1" applyFont="1" applyFill="1" applyBorder="1" applyAlignment="1">
      <alignment horizontal="center" vertical="center" wrapText="1"/>
    </xf>
    <xf numFmtId="165" fontId="23" fillId="26" borderId="10" xfId="0" applyNumberFormat="1" applyFont="1" applyFill="1" applyBorder="1" applyAlignment="1">
      <alignment horizontal="center" vertical="center" wrapText="1"/>
    </xf>
    <xf numFmtId="165" fontId="21" fillId="26" borderId="10" xfId="0" applyNumberFormat="1" applyFont="1" applyFill="1" applyBorder="1" applyAlignment="1">
      <alignment horizontal="center" vertical="center" wrapText="1"/>
    </xf>
    <xf numFmtId="0" fontId="30" fillId="25" borderId="10" xfId="0" applyFont="1" applyFill="1" applyBorder="1" applyAlignment="1">
      <alignment horizontal="center" vertical="center"/>
    </xf>
    <xf numFmtId="0" fontId="23" fillId="25" borderId="10" xfId="0" applyFont="1" applyFill="1" applyBorder="1" applyAlignment="1">
      <alignment horizontal="left" vertical="center"/>
    </xf>
    <xf numFmtId="0" fontId="21" fillId="25" borderId="10" xfId="35" applyNumberFormat="1" applyFont="1" applyFill="1" applyBorder="1" applyAlignment="1">
      <alignment horizontal="center" vertical="center"/>
    </xf>
    <xf numFmtId="4" fontId="21" fillId="25" borderId="10" xfId="0" applyNumberFormat="1" applyFont="1" applyFill="1" applyBorder="1" applyAlignment="1">
      <alignment horizontal="center" vertical="center"/>
    </xf>
    <xf numFmtId="4" fontId="21" fillId="25" borderId="10" xfId="0" applyNumberFormat="1" applyFont="1" applyFill="1" applyBorder="1" applyAlignment="1">
      <alignment vertical="center"/>
    </xf>
    <xf numFmtId="4" fontId="21" fillId="25" borderId="10" xfId="0" applyNumberFormat="1" applyFont="1" applyFill="1" applyBorder="1" applyAlignment="1">
      <alignment horizontal="left" vertical="center"/>
    </xf>
    <xf numFmtId="0" fontId="30" fillId="25" borderId="10" xfId="0" applyFont="1" applyFill="1" applyBorder="1" applyAlignment="1">
      <alignment horizontal="left" vertical="center"/>
    </xf>
    <xf numFmtId="0" fontId="29" fillId="25" borderId="10" xfId="35" applyNumberFormat="1" applyFont="1" applyFill="1" applyBorder="1" applyAlignment="1">
      <alignment horizontal="center" vertical="center"/>
    </xf>
    <xf numFmtId="4" fontId="23" fillId="25" borderId="10" xfId="0" applyNumberFormat="1" applyFont="1" applyFill="1" applyBorder="1" applyAlignment="1">
      <alignment horizontal="center" vertical="center"/>
    </xf>
    <xf numFmtId="4" fontId="23" fillId="25" borderId="10" xfId="0" applyNumberFormat="1" applyFont="1" applyFill="1" applyBorder="1" applyAlignment="1">
      <alignment vertical="center"/>
    </xf>
    <xf numFmtId="0" fontId="30" fillId="25" borderId="10" xfId="0" applyFont="1" applyFill="1" applyBorder="1" applyAlignment="1">
      <alignment horizontal="center" vertical="center" wrapText="1"/>
    </xf>
    <xf numFmtId="0" fontId="21" fillId="25" borderId="10" xfId="0" applyFont="1" applyFill="1" applyBorder="1" applyAlignment="1">
      <alignment horizontal="center" vertical="center" wrapText="1"/>
    </xf>
    <xf numFmtId="0" fontId="23" fillId="25" borderId="10" xfId="0" applyFont="1" applyFill="1" applyBorder="1" applyAlignment="1">
      <alignment horizontal="center" vertical="center" wrapText="1"/>
    </xf>
    <xf numFmtId="0" fontId="27" fillId="25" borderId="10" xfId="0" applyFont="1" applyFill="1" applyBorder="1" applyAlignment="1">
      <alignment horizontal="left" vertical="center"/>
    </xf>
    <xf numFmtId="0" fontId="28" fillId="25" borderId="10" xfId="35" applyNumberFormat="1" applyFont="1" applyFill="1" applyBorder="1" applyAlignment="1">
      <alignment horizontal="center" vertical="center" wrapText="1"/>
    </xf>
    <xf numFmtId="4" fontId="21" fillId="25" borderId="10" xfId="0" applyNumberFormat="1" applyFont="1" applyFill="1" applyBorder="1" applyAlignment="1">
      <alignment horizontal="center" vertical="center" wrapText="1"/>
    </xf>
    <xf numFmtId="4" fontId="21" fillId="25" borderId="10" xfId="0" applyNumberFormat="1" applyFont="1" applyFill="1" applyBorder="1" applyAlignment="1">
      <alignment vertical="center" wrapText="1"/>
    </xf>
    <xf numFmtId="0" fontId="28" fillId="25" borderId="10" xfId="35" applyNumberFormat="1" applyFont="1" applyFill="1" applyBorder="1" applyAlignment="1">
      <alignment horizontal="center" vertical="center"/>
    </xf>
    <xf numFmtId="4" fontId="31" fillId="25" borderId="10" xfId="0" applyNumberFormat="1" applyFont="1" applyFill="1" applyBorder="1" applyAlignment="1">
      <alignment vertical="center"/>
    </xf>
    <xf numFmtId="49" fontId="21" fillId="24" borderId="10" xfId="0" applyNumberFormat="1" applyFont="1" applyFill="1" applyBorder="1" applyAlignment="1">
      <alignment horizontal="center" vertical="center" wrapText="1"/>
    </xf>
    <xf numFmtId="49" fontId="21" fillId="24" borderId="10" xfId="0" applyNumberFormat="1" applyFont="1" applyFill="1" applyBorder="1" applyAlignment="1">
      <alignment vertical="center" wrapText="1"/>
    </xf>
    <xf numFmtId="2" fontId="21" fillId="24" borderId="10" xfId="0" applyNumberFormat="1" applyFont="1" applyFill="1" applyBorder="1" applyAlignment="1">
      <alignment horizontal="center" vertical="center" wrapText="1"/>
    </xf>
    <xf numFmtId="0" fontId="21" fillId="24" borderId="10" xfId="0" applyFont="1" applyFill="1" applyBorder="1" applyAlignment="1">
      <alignment horizontal="center" vertical="center" wrapText="1"/>
    </xf>
    <xf numFmtId="0" fontId="28" fillId="24" borderId="10" xfId="35" applyNumberFormat="1" applyFont="1" applyFill="1" applyBorder="1" applyAlignment="1">
      <alignment horizontal="center" vertical="center" wrapText="1"/>
    </xf>
    <xf numFmtId="4" fontId="21" fillId="24" borderId="10" xfId="0" applyNumberFormat="1" applyFont="1" applyFill="1" applyBorder="1" applyAlignment="1">
      <alignment horizontal="center" vertical="center" wrapText="1"/>
    </xf>
    <xf numFmtId="4" fontId="21" fillId="24" borderId="10" xfId="0" applyNumberFormat="1" applyFont="1" applyFill="1" applyBorder="1" applyAlignment="1">
      <alignment vertical="center" wrapText="1"/>
    </xf>
    <xf numFmtId="4" fontId="21" fillId="24" borderId="10" xfId="0" applyNumberFormat="1" applyFont="1" applyFill="1" applyBorder="1" applyAlignment="1">
      <alignment horizontal="center" vertical="center"/>
    </xf>
    <xf numFmtId="4" fontId="21" fillId="24" borderId="10" xfId="0" applyNumberFormat="1" applyFont="1" applyFill="1" applyBorder="1" applyAlignment="1">
      <alignment vertical="center"/>
    </xf>
    <xf numFmtId="0" fontId="23" fillId="27" borderId="13" xfId="45" applyFont="1" applyFill="1" applyBorder="1" applyAlignment="1">
      <alignment vertical="center"/>
    </xf>
    <xf numFmtId="0" fontId="23" fillId="25" borderId="13" xfId="45" applyFont="1" applyFill="1" applyBorder="1" applyAlignment="1">
      <alignment vertical="center" wrapText="1"/>
    </xf>
    <xf numFmtId="0" fontId="21" fillId="0" borderId="10" xfId="45" applyFont="1" applyBorder="1" applyAlignment="1">
      <alignment horizontal="left" vertical="center" wrapText="1"/>
    </xf>
    <xf numFmtId="0" fontId="21" fillId="0" borderId="10" xfId="45" applyFont="1" applyBorder="1" applyAlignment="1">
      <alignment horizontal="center" vertical="center"/>
    </xf>
    <xf numFmtId="0" fontId="21" fillId="0" borderId="10" xfId="45" applyFont="1" applyBorder="1" applyAlignment="1">
      <alignment horizontal="center" vertical="center" wrapText="1"/>
    </xf>
    <xf numFmtId="49" fontId="21" fillId="24" borderId="10" xfId="45" applyNumberFormat="1" applyFont="1" applyFill="1" applyBorder="1" applyAlignment="1">
      <alignment horizontal="center" vertical="center"/>
    </xf>
    <xf numFmtId="0" fontId="21" fillId="24" borderId="10" xfId="45" applyFont="1" applyFill="1" applyBorder="1" applyAlignment="1">
      <alignment horizontal="center" vertical="center"/>
    </xf>
    <xf numFmtId="0" fontId="21" fillId="24" borderId="10" xfId="0" applyFont="1" applyFill="1" applyBorder="1" applyAlignment="1">
      <alignment vertical="center" wrapText="1"/>
    </xf>
    <xf numFmtId="0" fontId="21" fillId="24" borderId="10" xfId="0" applyFont="1" applyFill="1" applyBorder="1" applyAlignment="1">
      <alignment wrapText="1"/>
    </xf>
    <xf numFmtId="0" fontId="21" fillId="24" borderId="0" xfId="0" applyFont="1" applyFill="1" applyAlignment="1">
      <alignment horizontal="center" vertical="center"/>
    </xf>
    <xf numFmtId="0" fontId="21" fillId="24" borderId="15" xfId="45" applyFont="1" applyFill="1" applyBorder="1" applyAlignment="1">
      <alignment horizontal="left" vertical="center" wrapText="1"/>
    </xf>
    <xf numFmtId="0" fontId="21" fillId="24" borderId="10" xfId="45" applyFont="1" applyFill="1" applyBorder="1" applyAlignment="1">
      <alignment horizontal="left" vertical="center" wrapText="1"/>
    </xf>
    <xf numFmtId="0" fontId="21" fillId="24" borderId="10" xfId="0" applyFont="1" applyFill="1" applyBorder="1"/>
    <xf numFmtId="0" fontId="21" fillId="24" borderId="0" xfId="0" applyFont="1" applyFill="1"/>
    <xf numFmtId="0" fontId="21" fillId="24" borderId="15" xfId="0" applyFont="1" applyFill="1" applyBorder="1" applyAlignment="1">
      <alignment vertical="center" wrapText="1"/>
    </xf>
    <xf numFmtId="0" fontId="21" fillId="24" borderId="10" xfId="35" applyNumberFormat="1" applyFont="1" applyFill="1" applyBorder="1" applyAlignment="1">
      <alignment horizontal="center" vertical="center"/>
    </xf>
    <xf numFmtId="165" fontId="21" fillId="25" borderId="10" xfId="0" applyNumberFormat="1" applyFont="1" applyFill="1" applyBorder="1" applyAlignment="1">
      <alignment horizontal="center" vertical="center" wrapText="1"/>
    </xf>
    <xf numFmtId="0" fontId="23" fillId="27" borderId="10" xfId="45" applyFont="1" applyFill="1" applyBorder="1" applyAlignment="1">
      <alignment vertical="center"/>
    </xf>
    <xf numFmtId="4" fontId="20" fillId="25" borderId="10" xfId="0" applyNumberFormat="1" applyFont="1" applyFill="1" applyBorder="1" applyAlignment="1">
      <alignment vertical="center" wrapText="1"/>
    </xf>
    <xf numFmtId="168" fontId="21" fillId="24" borderId="10" xfId="33" applyNumberFormat="1" applyFont="1" applyFill="1" applyBorder="1" applyAlignment="1">
      <alignment horizontal="center" vertical="center"/>
    </xf>
    <xf numFmtId="49" fontId="20" fillId="0" borderId="14" xfId="0" applyNumberFormat="1" applyFont="1" applyBorder="1" applyAlignment="1">
      <alignment horizontal="center" vertical="center"/>
    </xf>
    <xf numFmtId="0" fontId="20" fillId="0" borderId="24" xfId="0" applyFont="1" applyBorder="1" applyAlignment="1">
      <alignment horizontal="center" vertical="center"/>
    </xf>
    <xf numFmtId="0" fontId="20" fillId="0" borderId="24" xfId="0" applyFont="1" applyBorder="1" applyAlignment="1">
      <alignment horizontal="center" vertical="center" wrapText="1"/>
    </xf>
    <xf numFmtId="4" fontId="20" fillId="0" borderId="24" xfId="0" applyNumberFormat="1" applyFont="1" applyBorder="1" applyAlignment="1">
      <alignment horizontal="center" vertical="center"/>
    </xf>
    <xf numFmtId="4" fontId="20" fillId="0" borderId="24" xfId="0" applyNumberFormat="1" applyFont="1" applyBorder="1" applyAlignment="1">
      <alignment horizontal="center" vertical="center" wrapText="1"/>
    </xf>
    <xf numFmtId="4" fontId="28" fillId="24" borderId="10" xfId="0" applyNumberFormat="1" applyFont="1" applyFill="1" applyBorder="1" applyAlignment="1">
      <alignment horizontal="left" vertical="center" wrapText="1"/>
    </xf>
    <xf numFmtId="0" fontId="21" fillId="25" borderId="10" xfId="45" applyFont="1" applyFill="1" applyBorder="1" applyAlignment="1">
      <alignment horizontal="center" vertical="center"/>
    </xf>
    <xf numFmtId="0" fontId="21" fillId="0" borderId="0" xfId="0" applyFont="1" applyAlignment="1">
      <alignment wrapText="1"/>
    </xf>
    <xf numFmtId="0" fontId="28" fillId="24" borderId="10" xfId="35" applyNumberFormat="1" applyFont="1" applyFill="1" applyBorder="1" applyAlignment="1">
      <alignment horizontal="center" vertical="center"/>
    </xf>
    <xf numFmtId="0" fontId="21" fillId="24" borderId="10" xfId="0" applyFont="1" applyFill="1" applyBorder="1" applyAlignment="1">
      <alignment horizontal="left" vertical="center" wrapText="1"/>
    </xf>
    <xf numFmtId="2" fontId="21" fillId="24" borderId="10" xfId="35" applyNumberFormat="1" applyFont="1" applyFill="1" applyBorder="1" applyAlignment="1">
      <alignment horizontal="center" vertical="center" wrapText="1"/>
    </xf>
    <xf numFmtId="0" fontId="21" fillId="24" borderId="10" xfId="35" applyNumberFormat="1" applyFont="1" applyFill="1" applyBorder="1" applyAlignment="1">
      <alignment horizontal="center" vertical="center" wrapText="1"/>
    </xf>
    <xf numFmtId="0" fontId="21" fillId="24" borderId="15" xfId="0" applyFont="1" applyFill="1" applyBorder="1" applyAlignment="1">
      <alignment horizontal="center" vertical="center"/>
    </xf>
    <xf numFmtId="0" fontId="21" fillId="24" borderId="0" xfId="0" applyFont="1" applyFill="1" applyAlignment="1">
      <alignment wrapText="1"/>
    </xf>
    <xf numFmtId="4" fontId="21" fillId="24" borderId="10" xfId="0" applyNumberFormat="1" applyFont="1" applyFill="1" applyBorder="1" applyAlignment="1">
      <alignment horizontal="left" vertical="center" wrapText="1"/>
    </xf>
    <xf numFmtId="0" fontId="21" fillId="24" borderId="17" xfId="0" applyFont="1" applyFill="1" applyBorder="1" applyAlignment="1">
      <alignment wrapText="1"/>
    </xf>
    <xf numFmtId="2" fontId="21" fillId="24" borderId="10" xfId="0" applyNumberFormat="1" applyFont="1" applyFill="1" applyBorder="1" applyAlignment="1">
      <alignment horizontal="center" vertical="center"/>
    </xf>
    <xf numFmtId="0" fontId="28" fillId="24" borderId="10" xfId="0" applyFont="1" applyFill="1" applyBorder="1" applyAlignment="1">
      <alignment horizontal="left" vertical="center" wrapText="1"/>
    </xf>
    <xf numFmtId="4" fontId="28" fillId="24" borderId="10" xfId="0" applyNumberFormat="1" applyFont="1" applyFill="1" applyBorder="1" applyAlignment="1">
      <alignment vertical="center" wrapText="1"/>
    </xf>
    <xf numFmtId="0" fontId="29" fillId="24" borderId="10" xfId="0" applyFont="1" applyFill="1" applyBorder="1" applyAlignment="1">
      <alignment horizontal="left" vertical="center" wrapText="1"/>
    </xf>
    <xf numFmtId="0" fontId="29" fillId="24" borderId="10" xfId="35" applyNumberFormat="1" applyFont="1" applyFill="1" applyBorder="1" applyAlignment="1">
      <alignment horizontal="center" vertical="center" wrapText="1"/>
    </xf>
    <xf numFmtId="0" fontId="28" fillId="24" borderId="10" xfId="0" applyFont="1" applyFill="1" applyBorder="1" applyAlignment="1">
      <alignment horizontal="center" vertical="center" wrapText="1"/>
    </xf>
    <xf numFmtId="0" fontId="21" fillId="24" borderId="0" xfId="0" applyFont="1" applyFill="1" applyAlignment="1">
      <alignment vertical="center" wrapText="1"/>
    </xf>
    <xf numFmtId="0" fontId="21" fillId="24" borderId="11" xfId="0" applyFont="1" applyFill="1" applyBorder="1" applyAlignment="1">
      <alignment horizontal="center" vertical="center"/>
    </xf>
    <xf numFmtId="0" fontId="21" fillId="24" borderId="18" xfId="0" applyFont="1" applyFill="1" applyBorder="1" applyAlignment="1">
      <alignment vertical="center" wrapText="1"/>
    </xf>
    <xf numFmtId="0" fontId="21" fillId="24" borderId="25" xfId="0" applyFont="1" applyFill="1" applyBorder="1" applyAlignment="1">
      <alignment vertical="center" wrapText="1"/>
    </xf>
    <xf numFmtId="0" fontId="21" fillId="24" borderId="13" xfId="0" applyFont="1" applyFill="1" applyBorder="1" applyAlignment="1">
      <alignment wrapText="1"/>
    </xf>
    <xf numFmtId="0" fontId="29" fillId="24" borderId="10" xfId="0" applyFont="1" applyFill="1" applyBorder="1" applyAlignment="1">
      <alignment horizontal="center" vertical="center"/>
    </xf>
    <xf numFmtId="0" fontId="23" fillId="25" borderId="10" xfId="0" applyFont="1" applyFill="1" applyBorder="1" applyAlignment="1">
      <alignment wrapText="1"/>
    </xf>
    <xf numFmtId="44" fontId="23" fillId="25" borderId="10" xfId="48" applyFont="1" applyFill="1" applyBorder="1" applyAlignment="1">
      <alignment horizontal="right" vertical="center" wrapText="1"/>
    </xf>
    <xf numFmtId="44" fontId="21" fillId="24" borderId="10" xfId="48" applyFont="1" applyFill="1" applyBorder="1" applyAlignment="1">
      <alignment horizontal="center" vertical="center"/>
    </xf>
    <xf numFmtId="44" fontId="21" fillId="24" borderId="10" xfId="48" applyFont="1" applyFill="1" applyBorder="1" applyAlignment="1">
      <alignment horizontal="center" vertical="center" wrapText="1"/>
    </xf>
    <xf numFmtId="44" fontId="21" fillId="24" borderId="0" xfId="48" applyFont="1" applyFill="1" applyAlignment="1">
      <alignment horizontal="center" vertical="center"/>
    </xf>
    <xf numFmtId="44" fontId="23" fillId="25" borderId="10" xfId="48" applyFont="1" applyFill="1" applyBorder="1" applyAlignment="1">
      <alignment horizontal="right" vertical="center"/>
    </xf>
    <xf numFmtId="44" fontId="23" fillId="25" borderId="0" xfId="48" applyFont="1" applyFill="1" applyAlignment="1">
      <alignment vertical="center"/>
    </xf>
    <xf numFmtId="0" fontId="29" fillId="24" borderId="0" xfId="0" applyFont="1" applyFill="1" applyAlignment="1">
      <alignment horizontal="left" vertical="center" wrapText="1"/>
    </xf>
    <xf numFmtId="165" fontId="23" fillId="25" borderId="10" xfId="48" applyNumberFormat="1" applyFont="1" applyFill="1" applyBorder="1" applyAlignment="1">
      <alignment horizontal="right" vertical="center"/>
    </xf>
    <xf numFmtId="165" fontId="2" fillId="0" borderId="11" xfId="0" applyNumberFormat="1" applyFont="1" applyBorder="1" applyAlignment="1">
      <alignment horizontal="center" vertical="center" wrapText="1"/>
    </xf>
    <xf numFmtId="10" fontId="2" fillId="0" borderId="11" xfId="33" applyNumberFormat="1" applyFont="1" applyBorder="1" applyAlignment="1">
      <alignment horizontal="center" vertical="center" wrapText="1"/>
    </xf>
    <xf numFmtId="10" fontId="2" fillId="0" borderId="23" xfId="33" applyNumberFormat="1" applyFont="1" applyBorder="1" applyAlignment="1">
      <alignment horizontal="center" vertical="center" wrapText="1"/>
    </xf>
    <xf numFmtId="10" fontId="20" fillId="0" borderId="23" xfId="33" applyNumberFormat="1" applyFont="1" applyBorder="1" applyAlignment="1">
      <alignment horizontal="center" vertical="center" wrapText="1"/>
    </xf>
    <xf numFmtId="0" fontId="29" fillId="24" borderId="11" xfId="0" applyFont="1" applyFill="1" applyBorder="1" applyAlignment="1">
      <alignment horizontal="center" vertical="center"/>
    </xf>
    <xf numFmtId="0" fontId="21" fillId="24" borderId="11" xfId="0" applyFont="1" applyFill="1" applyBorder="1" applyAlignment="1">
      <alignment horizontal="center" vertical="center" wrapText="1"/>
    </xf>
    <xf numFmtId="0" fontId="21" fillId="24" borderId="11" xfId="0" applyFont="1" applyFill="1" applyBorder="1" applyAlignment="1">
      <alignment wrapText="1"/>
    </xf>
    <xf numFmtId="0" fontId="21" fillId="24" borderId="11" xfId="45" applyFont="1" applyFill="1" applyBorder="1" applyAlignment="1">
      <alignment horizontal="center" vertical="center"/>
    </xf>
    <xf numFmtId="4" fontId="21" fillId="24" borderId="11" xfId="0" applyNumberFormat="1" applyFont="1" applyFill="1" applyBorder="1" applyAlignment="1">
      <alignment horizontal="center" vertical="center"/>
    </xf>
    <xf numFmtId="44" fontId="21" fillId="24" borderId="11" xfId="48" applyFont="1" applyFill="1" applyBorder="1" applyAlignment="1">
      <alignment horizontal="center" vertical="center"/>
    </xf>
    <xf numFmtId="44" fontId="21" fillId="24" borderId="11" xfId="48" applyFont="1" applyFill="1" applyBorder="1" applyAlignment="1">
      <alignment horizontal="center" vertical="center" wrapText="1"/>
    </xf>
    <xf numFmtId="44" fontId="23" fillId="0" borderId="38" xfId="48" applyFont="1" applyBorder="1" applyAlignment="1">
      <alignment vertical="center" wrapText="1"/>
    </xf>
    <xf numFmtId="44" fontId="23" fillId="25" borderId="15" xfId="48" applyFont="1" applyFill="1" applyBorder="1" applyAlignment="1">
      <alignment vertical="center" wrapText="1"/>
    </xf>
    <xf numFmtId="44" fontId="23" fillId="0" borderId="38" xfId="48" applyFont="1" applyBorder="1" applyAlignment="1">
      <alignment horizontal="center" vertical="center" wrapText="1"/>
    </xf>
    <xf numFmtId="0" fontId="20" fillId="0" borderId="18" xfId="0" applyFont="1" applyBorder="1" applyAlignment="1">
      <alignment horizontal="center" vertical="center"/>
    </xf>
    <xf numFmtId="0" fontId="20" fillId="0" borderId="0" xfId="0" applyFont="1" applyAlignment="1">
      <alignment horizontal="center" vertical="center"/>
    </xf>
    <xf numFmtId="0" fontId="2" fillId="0" borderId="18" xfId="0" applyFont="1" applyBorder="1" applyAlignment="1">
      <alignment horizontal="center" vertical="center"/>
    </xf>
    <xf numFmtId="0" fontId="2" fillId="0" borderId="0" xfId="0" applyFont="1" applyAlignment="1">
      <alignment horizontal="center" vertical="center"/>
    </xf>
    <xf numFmtId="4" fontId="20" fillId="0" borderId="11" xfId="0" applyNumberFormat="1" applyFont="1" applyBorder="1" applyAlignment="1">
      <alignment horizontal="center" vertical="center" wrapText="1"/>
    </xf>
    <xf numFmtId="4" fontId="20" fillId="0" borderId="37" xfId="0" applyNumberFormat="1" applyFont="1" applyBorder="1" applyAlignment="1">
      <alignment horizontal="center" vertical="center"/>
    </xf>
    <xf numFmtId="4" fontId="20" fillId="0" borderId="15" xfId="0" applyNumberFormat="1" applyFont="1" applyBorder="1" applyAlignment="1">
      <alignment horizontal="center" vertical="center"/>
    </xf>
    <xf numFmtId="0" fontId="20" fillId="0" borderId="14" xfId="0" applyFont="1" applyBorder="1" applyAlignment="1">
      <alignment horizontal="left" vertical="center" wrapText="1"/>
    </xf>
    <xf numFmtId="0" fontId="20" fillId="0" borderId="24" xfId="0" applyFont="1" applyBorder="1" applyAlignment="1">
      <alignment horizontal="left" vertical="center" wrapText="1"/>
    </xf>
    <xf numFmtId="0" fontId="20" fillId="0" borderId="20" xfId="0" applyFont="1" applyBorder="1" applyAlignment="1">
      <alignment horizontal="left" vertical="center" wrapText="1"/>
    </xf>
    <xf numFmtId="0" fontId="20" fillId="0" borderId="16" xfId="0" applyFont="1" applyBorder="1" applyAlignment="1">
      <alignment horizontal="left" vertical="center" wrapText="1"/>
    </xf>
    <xf numFmtId="0" fontId="20" fillId="0" borderId="19" xfId="0" applyFont="1" applyBorder="1" applyAlignment="1">
      <alignment horizontal="left" vertical="center" wrapText="1"/>
    </xf>
    <xf numFmtId="0" fontId="20" fillId="0" borderId="21" xfId="0" applyFont="1" applyBorder="1" applyAlignment="1">
      <alignment horizontal="left" vertical="center" wrapText="1"/>
    </xf>
    <xf numFmtId="49" fontId="23" fillId="0" borderId="39" xfId="0" applyNumberFormat="1" applyFont="1" applyBorder="1" applyAlignment="1">
      <alignment horizontal="right" vertical="center"/>
    </xf>
    <xf numFmtId="49" fontId="23" fillId="0" borderId="40" xfId="0" applyNumberFormat="1" applyFont="1" applyBorder="1" applyAlignment="1">
      <alignment horizontal="right" vertical="center"/>
    </xf>
    <xf numFmtId="49" fontId="23" fillId="0" borderId="41" xfId="0" applyNumberFormat="1" applyFont="1" applyBorder="1" applyAlignment="1">
      <alignment horizontal="right" vertical="center"/>
    </xf>
    <xf numFmtId="0" fontId="20" fillId="0" borderId="10" xfId="0" applyFont="1" applyBorder="1" applyAlignment="1">
      <alignment horizontal="center" vertical="center"/>
    </xf>
    <xf numFmtId="0" fontId="20" fillId="0" borderId="32" xfId="0" applyFont="1" applyBorder="1" applyAlignment="1">
      <alignment horizontal="center" vertical="center" wrapText="1"/>
    </xf>
    <xf numFmtId="0" fontId="20" fillId="0" borderId="32"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17" xfId="0" applyFont="1" applyBorder="1" applyAlignment="1">
      <alignment horizontal="center" vertical="center"/>
    </xf>
    <xf numFmtId="0" fontId="32" fillId="0" borderId="33" xfId="0" applyFont="1" applyBorder="1" applyAlignment="1">
      <alignment horizontal="center" vertical="center" wrapText="1"/>
    </xf>
    <xf numFmtId="0" fontId="32" fillId="0" borderId="28" xfId="0" applyFont="1" applyBorder="1" applyAlignment="1">
      <alignment horizontal="center" vertical="center" wrapText="1"/>
    </xf>
    <xf numFmtId="0" fontId="32" fillId="0" borderId="34" xfId="0" applyFont="1" applyBorder="1" applyAlignment="1">
      <alignment horizontal="center" vertical="center" wrapText="1"/>
    </xf>
    <xf numFmtId="0" fontId="32" fillId="0" borderId="29" xfId="0" applyFont="1" applyBorder="1" applyAlignment="1">
      <alignment horizontal="center" vertical="center" wrapText="1"/>
    </xf>
    <xf numFmtId="0" fontId="20" fillId="0" borderId="12" xfId="0" applyFont="1" applyBorder="1" applyAlignment="1">
      <alignment horizontal="left" vertical="center" wrapText="1"/>
    </xf>
    <xf numFmtId="0" fontId="20" fillId="0" borderId="13" xfId="0" applyFont="1" applyBorder="1" applyAlignment="1">
      <alignment horizontal="left" vertical="center" wrapText="1"/>
    </xf>
    <xf numFmtId="0" fontId="20" fillId="0" borderId="17" xfId="0" applyFont="1" applyBorder="1" applyAlignment="1">
      <alignment horizontal="left" vertical="center" wrapText="1"/>
    </xf>
    <xf numFmtId="0" fontId="2" fillId="0" borderId="18" xfId="0" applyFont="1" applyBorder="1" applyAlignment="1">
      <alignment horizontal="center" vertical="center" wrapText="1"/>
    </xf>
    <xf numFmtId="0" fontId="2" fillId="0" borderId="0" xfId="0" applyFont="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22" xfId="0" applyFont="1" applyBorder="1" applyAlignment="1">
      <alignment horizontal="center" vertical="center"/>
    </xf>
    <xf numFmtId="0" fontId="20" fillId="0" borderId="23" xfId="0" applyFont="1" applyBorder="1" applyAlignment="1">
      <alignment horizontal="center" vertical="center"/>
    </xf>
    <xf numFmtId="0" fontId="20" fillId="0" borderId="11" xfId="0" applyFont="1" applyBorder="1" applyAlignment="1">
      <alignment horizontal="center" vertical="center" wrapText="1"/>
    </xf>
    <xf numFmtId="0" fontId="20" fillId="0" borderId="15" xfId="0" applyFont="1" applyBorder="1" applyAlignment="1">
      <alignment horizontal="center" vertical="center" wrapText="1"/>
    </xf>
    <xf numFmtId="49" fontId="20" fillId="0" borderId="11" xfId="0" applyNumberFormat="1" applyFont="1" applyBorder="1" applyAlignment="1">
      <alignment horizontal="left" vertical="center" wrapText="1"/>
    </xf>
    <xf numFmtId="0" fontId="20" fillId="0" borderId="15" xfId="0" applyFont="1" applyBorder="1" applyAlignment="1">
      <alignment horizontal="left" vertical="center" wrapText="1"/>
    </xf>
  </cellXfs>
  <cellStyles count="49">
    <cellStyle name="20% - Ênfase1" xfId="1" builtinId="30" customBuiltin="1"/>
    <cellStyle name="20% - Ênfase2" xfId="2" builtinId="34" customBuiltin="1"/>
    <cellStyle name="20% - Ênfase3" xfId="3" builtinId="38" customBuiltin="1"/>
    <cellStyle name="20% - Ênfase4" xfId="4" builtinId="42" customBuiltin="1"/>
    <cellStyle name="20% - Ênfase5" xfId="5" builtinId="46" customBuiltin="1"/>
    <cellStyle name="20% - Ênfase6" xfId="6" builtinId="50" customBuiltin="1"/>
    <cellStyle name="40% - Ênfase1" xfId="7" builtinId="31" customBuiltin="1"/>
    <cellStyle name="40% - Ênfase2" xfId="8" builtinId="35" customBuiltin="1"/>
    <cellStyle name="40% - Ênfase3" xfId="9" builtinId="39" customBuiltin="1"/>
    <cellStyle name="40% - Ênfase4" xfId="10" builtinId="43" customBuiltin="1"/>
    <cellStyle name="40% - Ênfase5" xfId="11" builtinId="47" customBuiltin="1"/>
    <cellStyle name="40% - Ênfase6" xfId="12" builtinId="51" customBuiltin="1"/>
    <cellStyle name="60% - Ênfase1" xfId="13" builtinId="32" customBuiltin="1"/>
    <cellStyle name="60% - Ênfase2" xfId="14" builtinId="36" customBuiltin="1"/>
    <cellStyle name="60% - Ênfase3" xfId="15" builtinId="40" customBuiltin="1"/>
    <cellStyle name="60% - Ênfase4" xfId="16" builtinId="44" customBuiltin="1"/>
    <cellStyle name="60% - Ênfase5" xfId="17" builtinId="48" customBuiltin="1"/>
    <cellStyle name="60% - Ênfase6" xfId="18" builtinId="52" customBuiltin="1"/>
    <cellStyle name="Bom" xfId="19" builtinId="26" customBuiltin="1"/>
    <cellStyle name="Cálculo" xfId="20" builtinId="22" customBuiltin="1"/>
    <cellStyle name="Célula de Verificação" xfId="21" builtinId="23" customBuiltin="1"/>
    <cellStyle name="Célula Vinculada" xfId="22" builtinId="24" customBuiltin="1"/>
    <cellStyle name="Ênfase1" xfId="23" builtinId="29" customBuiltin="1"/>
    <cellStyle name="Ênfase2" xfId="24" builtinId="33" customBuiltin="1"/>
    <cellStyle name="Ênfase3" xfId="25" builtinId="37" customBuiltin="1"/>
    <cellStyle name="Ênfase4" xfId="26" builtinId="41" customBuiltin="1"/>
    <cellStyle name="Ênfase5" xfId="27" builtinId="45" customBuiltin="1"/>
    <cellStyle name="Ênfase6" xfId="28" builtinId="49" customBuiltin="1"/>
    <cellStyle name="Entrada" xfId="29" builtinId="20" customBuiltin="1"/>
    <cellStyle name="Moeda" xfId="48" builtinId="4"/>
    <cellStyle name="Neutro" xfId="31" builtinId="28" customBuiltin="1"/>
    <cellStyle name="Normal" xfId="0" builtinId="0"/>
    <cellStyle name="Normal 2 2 2" xfId="45" xr:uid="{00000000-0005-0000-0000-000021000000}"/>
    <cellStyle name="Normal 3 3" xfId="47" xr:uid="{00000000-0005-0000-0000-000022000000}"/>
    <cellStyle name="Normal 87" xfId="46" xr:uid="{00000000-0005-0000-0000-000023000000}"/>
    <cellStyle name="Nota" xfId="32" builtinId="10" customBuiltin="1"/>
    <cellStyle name="Porcentagem" xfId="33" builtinId="5"/>
    <cellStyle name="Ruim" xfId="30" builtinId="27" customBuiltin="1"/>
    <cellStyle name="Saída" xfId="34" builtinId="21" customBuiltin="1"/>
    <cellStyle name="Texto de Aviso" xfId="36" builtinId="11" customBuiltin="1"/>
    <cellStyle name="Texto Explicativo" xfId="37" builtinId="53" customBuiltin="1"/>
    <cellStyle name="Título" xfId="38" builtinId="15" customBuiltin="1"/>
    <cellStyle name="Título 1" xfId="39" builtinId="16" customBuiltin="1"/>
    <cellStyle name="Título 2" xfId="40" builtinId="17" customBuiltin="1"/>
    <cellStyle name="Título 3" xfId="41" builtinId="18" customBuiltin="1"/>
    <cellStyle name="Título 4" xfId="42" builtinId="19" customBuiltin="1"/>
    <cellStyle name="Total" xfId="43" builtinId="25" customBuiltin="1"/>
    <cellStyle name="Vírgula" xfId="35" builtinId="3"/>
    <cellStyle name="Vírgula 4" xfId="44" xr:uid="{00000000-0005-0000-0000-000030000000}"/>
  </cellStyles>
  <dxfs count="1">
    <dxf>
      <font>
        <b val="0"/>
        <i val="0"/>
        <color theme="0" tint="-0.14996795556505021"/>
        <name val="Calibri Light"/>
        <scheme val="none"/>
      </font>
      <fill>
        <patternFill>
          <fgColor indexed="64"/>
          <bgColor theme="0" tint="-0.14996795556505021"/>
        </patternFill>
      </fill>
      <border>
        <left/>
        <right/>
        <top style="thin">
          <color indexed="64"/>
        </top>
        <bottom style="thin">
          <color indexed="64"/>
        </bottom>
      </border>
    </dxf>
  </dxfs>
  <tableStyles count="0" defaultTableStyle="TableStyleMedium9" defaultPivotStyle="PivotStyleLight16"/>
  <colors>
    <mruColors>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Google%20Drive/DFT%20Projetos/PROJETOS/SERRANIA/PROJETOS/PRA&#199;A/PROJETO%20PRACA%20SETE%20ORELHAS/PLANILHA%20M+&#220;LTIPLA%202.3%20-%20RAND%20201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al"/>
      <sheetName val="Novo!"/>
      <sheetName val="Dados"/>
      <sheetName val="BDI"/>
      <sheetName val="Orçamento"/>
      <sheetName val="Memória"/>
      <sheetName val="Comp"/>
      <sheetName val="Cot"/>
      <sheetName val="CronoFF"/>
      <sheetName val="QCI"/>
      <sheetName val="Memorial Descritivo"/>
      <sheetName val="Licitação"/>
      <sheetName val="CronoFF-L"/>
      <sheetName val="QCI-L"/>
      <sheetName val="BM"/>
      <sheetName val="RRE"/>
      <sheetName val="OFÍCIO"/>
      <sheetName val="CC"/>
    </sheetNames>
    <sheetDataSet>
      <sheetData sheetId="0" refreshError="1"/>
      <sheetData sheetId="1" refreshError="1"/>
      <sheetData sheetId="2" refreshError="1">
        <row r="29">
          <cell r="G29">
            <v>43009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K180"/>
  <sheetViews>
    <sheetView showGridLines="0" view="pageBreakPreview" topLeftCell="A162" zoomScale="120" zoomScaleNormal="75" zoomScaleSheetLayoutView="120" workbookViewId="0">
      <selection activeCell="D164" sqref="D164"/>
    </sheetView>
  </sheetViews>
  <sheetFormatPr defaultColWidth="9.140625" defaultRowHeight="12.75" x14ac:dyDescent="0.2"/>
  <cols>
    <col min="1" max="1" width="7.7109375" style="3" customWidth="1"/>
    <col min="2" max="2" width="8.85546875" style="4" bestFit="1" customWidth="1"/>
    <col min="3" max="3" width="9.7109375" style="4" customWidth="1"/>
    <col min="4" max="4" width="49" style="14" customWidth="1"/>
    <col min="5" max="5" width="6.7109375" style="4" customWidth="1"/>
    <col min="6" max="6" width="11.5703125" style="5" bestFit="1" customWidth="1"/>
    <col min="7" max="8" width="12.7109375" style="5" customWidth="1"/>
    <col min="9" max="9" width="18.28515625" style="5" bestFit="1" customWidth="1"/>
    <col min="10" max="10" width="9.140625" style="13"/>
    <col min="11" max="11" width="21.28515625" style="4" customWidth="1"/>
    <col min="12" max="16384" width="9.140625" style="13"/>
  </cols>
  <sheetData>
    <row r="1" spans="1:9" ht="104.25" customHeight="1" x14ac:dyDescent="0.2">
      <c r="A1" s="7"/>
      <c r="B1" s="8"/>
      <c r="C1" s="8"/>
      <c r="D1"/>
      <c r="E1" s="8"/>
      <c r="F1" s="15"/>
      <c r="G1" s="8"/>
      <c r="H1" s="8"/>
      <c r="I1" s="9"/>
    </row>
    <row r="2" spans="1:9" ht="5.0999999999999996" customHeight="1" x14ac:dyDescent="0.2">
      <c r="A2" s="7"/>
      <c r="B2" s="8"/>
      <c r="C2" s="8"/>
      <c r="D2" s="54"/>
      <c r="E2" s="8"/>
      <c r="F2" s="15"/>
      <c r="G2" s="8"/>
      <c r="H2" s="8"/>
      <c r="I2" s="9"/>
    </row>
    <row r="3" spans="1:9" x14ac:dyDescent="0.2">
      <c r="A3" s="276" t="s">
        <v>56</v>
      </c>
      <c r="B3" s="276"/>
      <c r="C3" s="276"/>
      <c r="D3" s="276"/>
      <c r="E3" s="276"/>
      <c r="F3" s="276"/>
      <c r="G3" s="276"/>
      <c r="H3" s="276"/>
      <c r="I3" s="276"/>
    </row>
    <row r="4" spans="1:9" ht="5.0999999999999996" customHeight="1" x14ac:dyDescent="0.2">
      <c r="A4" s="112"/>
      <c r="B4" s="113"/>
      <c r="C4" s="113"/>
      <c r="D4" s="115"/>
      <c r="E4" s="113"/>
      <c r="F4" s="113"/>
      <c r="G4" s="113"/>
      <c r="H4" s="113"/>
      <c r="I4" s="114"/>
    </row>
    <row r="5" spans="1:9" x14ac:dyDescent="0.2">
      <c r="A5" s="16" t="str">
        <f>'MM CALC'!A3</f>
        <v>PREFEITURA MUNICIPAL DE BONFINÓPOLIS DE MINAS - MG</v>
      </c>
      <c r="B5" s="2"/>
      <c r="C5" s="2"/>
      <c r="D5" s="55"/>
      <c r="E5" s="44" t="str">
        <f>'MM CALC'!E3</f>
        <v>DATA:28/08/2025</v>
      </c>
      <c r="F5" s="113"/>
      <c r="G5" s="56"/>
      <c r="H5" s="56"/>
      <c r="I5" s="39"/>
    </row>
    <row r="6" spans="1:9" x14ac:dyDescent="0.2">
      <c r="A6" s="16" t="str">
        <f>'MM CALC'!A4</f>
        <v>OBRA: BASE DESCENTRALIZADA SAMU - EQUIPE 4 PESSOAS</v>
      </c>
      <c r="B6" s="2"/>
      <c r="C6" s="2"/>
      <c r="D6" s="55"/>
      <c r="E6" s="279"/>
      <c r="F6" s="280"/>
      <c r="G6" s="280"/>
      <c r="H6" s="280"/>
      <c r="I6" s="281"/>
    </row>
    <row r="7" spans="1:9" ht="30" customHeight="1" x14ac:dyDescent="0.2">
      <c r="A7" s="286" t="str">
        <f>'MM CALC'!A5</f>
        <v>LOCAL: RUA OURO PRETO, S/N, BAIRRO JARDIM CINELÂNDIA- BONFINÓPOLIS DE MINAS – MG, CEP 38.650-000</v>
      </c>
      <c r="B7" s="287"/>
      <c r="C7" s="287"/>
      <c r="D7" s="288"/>
      <c r="E7" s="277" t="s">
        <v>15</v>
      </c>
      <c r="F7" s="278"/>
      <c r="G7" s="282" t="s">
        <v>572</v>
      </c>
      <c r="H7" s="283"/>
      <c r="I7" s="264">
        <v>5</v>
      </c>
    </row>
    <row r="8" spans="1:9" ht="15" customHeight="1" x14ac:dyDescent="0.2">
      <c r="A8" s="267" t="s">
        <v>568</v>
      </c>
      <c r="B8" s="268"/>
      <c r="C8" s="268"/>
      <c r="D8" s="269"/>
      <c r="E8" s="98" t="s">
        <v>5</v>
      </c>
      <c r="F8" s="99" t="s">
        <v>3</v>
      </c>
      <c r="G8" s="284"/>
      <c r="H8" s="285"/>
      <c r="I8" s="265"/>
    </row>
    <row r="9" spans="1:9" ht="15" customHeight="1" x14ac:dyDescent="0.2">
      <c r="A9" s="270"/>
      <c r="B9" s="271"/>
      <c r="C9" s="271"/>
      <c r="D9" s="272"/>
      <c r="E9" s="119" t="s">
        <v>14</v>
      </c>
      <c r="F9" s="100" t="s">
        <v>4</v>
      </c>
      <c r="G9" s="117" t="s">
        <v>34</v>
      </c>
      <c r="H9" s="118">
        <v>0.29480000000000001</v>
      </c>
      <c r="I9" s="266"/>
    </row>
    <row r="10" spans="1:9" ht="5.0999999999999996" customHeight="1" x14ac:dyDescent="0.2">
      <c r="A10" s="10"/>
      <c r="B10" s="2"/>
      <c r="C10" s="2"/>
      <c r="D10" s="11"/>
      <c r="E10" s="2"/>
      <c r="F10" s="21"/>
      <c r="G10" s="12"/>
      <c r="H10" s="12"/>
      <c r="I10" s="20"/>
    </row>
    <row r="11" spans="1:9" s="4" customFormat="1" ht="26.25" thickBot="1" x14ac:dyDescent="0.25">
      <c r="A11" s="95" t="s">
        <v>0</v>
      </c>
      <c r="B11" s="96" t="s">
        <v>9</v>
      </c>
      <c r="C11" s="111" t="s">
        <v>2</v>
      </c>
      <c r="D11" s="101" t="s">
        <v>1</v>
      </c>
      <c r="E11" s="96" t="s">
        <v>6</v>
      </c>
      <c r="F11" s="94" t="s">
        <v>7</v>
      </c>
      <c r="G11" s="6" t="s">
        <v>16</v>
      </c>
      <c r="H11" s="6" t="s">
        <v>17</v>
      </c>
      <c r="I11" s="123" t="s">
        <v>8</v>
      </c>
    </row>
    <row r="12" spans="1:9" s="4" customFormat="1" ht="13.5" thickBot="1" x14ac:dyDescent="0.25">
      <c r="A12" s="209"/>
      <c r="B12" s="210"/>
      <c r="C12" s="210"/>
      <c r="D12" s="211"/>
      <c r="E12" s="210"/>
      <c r="F12" s="212"/>
      <c r="G12" s="213"/>
      <c r="H12" s="213"/>
      <c r="I12" s="259">
        <f>I13+I25+I29+I33+I51+I107+I121+I143+I146+I152+I161+I169</f>
        <v>0</v>
      </c>
    </row>
    <row r="13" spans="1:9" s="4" customFormat="1" x14ac:dyDescent="0.2">
      <c r="A13" s="161">
        <f>'MM CALC'!A9</f>
        <v>1</v>
      </c>
      <c r="B13" s="148"/>
      <c r="C13" s="138"/>
      <c r="D13" s="206" t="s">
        <v>542</v>
      </c>
      <c r="E13" s="163"/>
      <c r="F13" s="164"/>
      <c r="G13" s="207"/>
      <c r="H13" s="207"/>
      <c r="I13" s="258"/>
    </row>
    <row r="14" spans="1:9" s="4" customFormat="1" ht="22.5" x14ac:dyDescent="0.2">
      <c r="A14" s="236" t="s">
        <v>11</v>
      </c>
      <c r="B14" s="183" t="str">
        <f>'MM CALC'!B10</f>
        <v>SEINFRA</v>
      </c>
      <c r="C14" s="137" t="str">
        <f>'MM CALC'!C10</f>
        <v>ED-50392</v>
      </c>
      <c r="D14" s="197" t="str">
        <f>'MM CALC'!D10</f>
        <v>MOBILIZAÇÃO E DESMOBILIZAÇÃO DE OBRA EM CENTRO URBANO OU REGIÃO LIMÍTROFE COM VALOR ATÉ 1.000.000,00</v>
      </c>
      <c r="E14" s="204" t="str">
        <f>'MM CALC'!E10</f>
        <v>%</v>
      </c>
      <c r="F14" s="208">
        <f>'MM CALC'!F10</f>
        <v>5.0000000000000001E-3</v>
      </c>
      <c r="G14" s="137"/>
      <c r="H14" s="240"/>
      <c r="I14" s="240"/>
    </row>
    <row r="15" spans="1:9" s="4" customFormat="1" ht="45" x14ac:dyDescent="0.2">
      <c r="A15" s="236" t="s">
        <v>27</v>
      </c>
      <c r="B15" s="183" t="str">
        <f>'MM CALC'!B11</f>
        <v>SEINFRA</v>
      </c>
      <c r="C15" s="137" t="str">
        <f>'MM CALC'!C11</f>
        <v>ED-50128</v>
      </c>
      <c r="D15" s="197" t="str">
        <f>'MM CALC'!D11</f>
        <v>BARRACÃO DE OBRA PARA DEPÓSITO E FERRAMENTARIA TIPO-I, ÁREA INTERNA 14,52M2, EM CHAPA DE COMPENSADO RESINADO, INCLUSIVE MOBILIÁRIO (OBRA DE PEQUENO PORTE, EFETIVO ATÉ 30 HOMENS), PADRÃO DER-MG</v>
      </c>
      <c r="E15" s="204" t="str">
        <f>'MM CALC'!E11</f>
        <v>un</v>
      </c>
      <c r="F15" s="187">
        <f>'MM CALC'!F11</f>
        <v>1</v>
      </c>
      <c r="G15" s="239"/>
      <c r="H15" s="240"/>
      <c r="I15" s="240"/>
    </row>
    <row r="16" spans="1:9" s="4" customFormat="1" x14ac:dyDescent="0.2">
      <c r="A16" s="236" t="s">
        <v>308</v>
      </c>
      <c r="B16" s="183" t="str">
        <f>'MM CALC'!B12</f>
        <v>SEINFRA</v>
      </c>
      <c r="C16" s="137" t="str">
        <f>'MM CALC'!C12</f>
        <v>CO-27422</v>
      </c>
      <c r="D16" s="197" t="str">
        <f>'MM CALC'!D12</f>
        <v>PROJETO EXECUTIVO DE ARQUITETURA</v>
      </c>
      <c r="E16" s="204" t="str">
        <f>'MM CALC'!E12</f>
        <v>PR A1</v>
      </c>
      <c r="F16" s="187">
        <f>'MM CALC'!F12</f>
        <v>1</v>
      </c>
      <c r="G16" s="239"/>
      <c r="H16" s="240"/>
      <c r="I16" s="240"/>
    </row>
    <row r="17" spans="1:11" s="4" customFormat="1" ht="22.5" x14ac:dyDescent="0.2">
      <c r="A17" s="236" t="s">
        <v>314</v>
      </c>
      <c r="B17" s="183" t="str">
        <f>'MM CALC'!B13</f>
        <v>SEINFRA</v>
      </c>
      <c r="C17" s="137" t="str">
        <f>'MM CALC'!C13</f>
        <v>CO-27433</v>
      </c>
      <c r="D17" s="197" t="str">
        <f>'MM CALC'!D13</f>
        <v>PROJETO EXECUTIVO DE INFRAESTRUTURA DE CABEAMENTO ESTRUTURADO/CFTV/ALARME/SEGURANÇA/SONORIZAÇÃO</v>
      </c>
      <c r="E17" s="204" t="str">
        <f>'MM CALC'!E13</f>
        <v>PR A1</v>
      </c>
      <c r="F17" s="187">
        <f>'MM CALC'!F13</f>
        <v>1</v>
      </c>
      <c r="G17" s="239"/>
      <c r="H17" s="240"/>
      <c r="I17" s="240"/>
    </row>
    <row r="18" spans="1:11" s="4" customFormat="1" x14ac:dyDescent="0.2">
      <c r="A18" s="236" t="s">
        <v>315</v>
      </c>
      <c r="B18" s="183" t="str">
        <f>'MM CALC'!B14</f>
        <v>SEINFRA</v>
      </c>
      <c r="C18" s="137" t="str">
        <f>'MM CALC'!C14</f>
        <v>CO-27426</v>
      </c>
      <c r="D18" s="197" t="str">
        <f>'MM CALC'!D14</f>
        <v>PROJETO EXECUTIVO DE DRENAGEM PLUVIAL</v>
      </c>
      <c r="E18" s="204" t="str">
        <f>'MM CALC'!E14</f>
        <v>PR A1</v>
      </c>
      <c r="F18" s="187">
        <f>'MM CALC'!F14</f>
        <v>1</v>
      </c>
      <c r="G18" s="239"/>
      <c r="H18" s="240"/>
      <c r="I18" s="240"/>
    </row>
    <row r="19" spans="1:11" s="4" customFormat="1" x14ac:dyDescent="0.2">
      <c r="A19" s="236" t="s">
        <v>562</v>
      </c>
      <c r="B19" s="183" t="str">
        <f>'MM CALC'!B15</f>
        <v>SEINFRA</v>
      </c>
      <c r="C19" s="137" t="str">
        <f>'MM CALC'!C15</f>
        <v>CO-27427</v>
      </c>
      <c r="D19" s="197" t="str">
        <f>'MM CALC'!D15</f>
        <v>PROJETO EXECUTIVO DE ESTRUTURA DE CONCRETO</v>
      </c>
      <c r="E19" s="204" t="str">
        <f>'MM CALC'!E15</f>
        <v>PR A1</v>
      </c>
      <c r="F19" s="187">
        <f>'MM CALC'!F15</f>
        <v>1</v>
      </c>
      <c r="G19" s="239"/>
      <c r="H19" s="240"/>
      <c r="I19" s="240"/>
    </row>
    <row r="20" spans="1:11" s="4" customFormat="1" x14ac:dyDescent="0.2">
      <c r="A20" s="236" t="s">
        <v>563</v>
      </c>
      <c r="B20" s="183" t="str">
        <f>'MM CALC'!B16</f>
        <v>SEINFRA</v>
      </c>
      <c r="C20" s="137" t="str">
        <f>'MM CALC'!C16</f>
        <v>CO-27428</v>
      </c>
      <c r="D20" s="197" t="str">
        <f>'MM CALC'!D16</f>
        <v>PROJETO EXECUTIVO DE ESTRUTURA METÁLICA</v>
      </c>
      <c r="E20" s="204" t="str">
        <f>'MM CALC'!E16</f>
        <v>PR A1</v>
      </c>
      <c r="F20" s="187">
        <f>'MM CALC'!F16</f>
        <v>1</v>
      </c>
      <c r="G20" s="239"/>
      <c r="H20" s="240"/>
      <c r="I20" s="240"/>
    </row>
    <row r="21" spans="1:11" s="4" customFormat="1" x14ac:dyDescent="0.2">
      <c r="A21" s="236" t="s">
        <v>564</v>
      </c>
      <c r="B21" s="183" t="str">
        <f>'MM CALC'!B17</f>
        <v>SEINFRA</v>
      </c>
      <c r="C21" s="137" t="str">
        <f>'MM CALC'!C17</f>
        <v>CO-27431</v>
      </c>
      <c r="D21" s="197" t="str">
        <f>'MM CALC'!D17</f>
        <v>PROJETO EXECUTIVO DE INSTALAÇÕES ELÉTRICAS</v>
      </c>
      <c r="E21" s="204" t="str">
        <f>'MM CALC'!E17</f>
        <v>PR A1</v>
      </c>
      <c r="F21" s="187">
        <f>'MM CALC'!F17</f>
        <v>1</v>
      </c>
      <c r="G21" s="239"/>
      <c r="H21" s="240"/>
      <c r="I21" s="240"/>
    </row>
    <row r="22" spans="1:11" s="4" customFormat="1" x14ac:dyDescent="0.2">
      <c r="A22" s="236" t="s">
        <v>565</v>
      </c>
      <c r="B22" s="183" t="str">
        <f>'MM CALC'!B18</f>
        <v>SEINFRA</v>
      </c>
      <c r="C22" s="137" t="str">
        <f>'MM CALC'!C18</f>
        <v>CO-27430</v>
      </c>
      <c r="D22" s="197" t="str">
        <f>'MM CALC'!D18</f>
        <v>PROJETO EXECUTIVO DE INSTALAÇÕES HIDROSSANITÁRIAS</v>
      </c>
      <c r="E22" s="204" t="str">
        <f>'MM CALC'!E18</f>
        <v>PR A1</v>
      </c>
      <c r="F22" s="187">
        <f>'MM CALC'!F18</f>
        <v>1</v>
      </c>
      <c r="G22" s="239"/>
      <c r="H22" s="240"/>
      <c r="I22" s="240"/>
    </row>
    <row r="23" spans="1:11" s="4" customFormat="1" x14ac:dyDescent="0.2">
      <c r="A23" s="236" t="s">
        <v>566</v>
      </c>
      <c r="B23" s="183" t="str">
        <f>'MM CALC'!B19</f>
        <v>SEINFRA</v>
      </c>
      <c r="C23" s="137" t="str">
        <f>'MM CALC'!C19</f>
        <v>CO-27468</v>
      </c>
      <c r="D23" s="197" t="str">
        <f>'MM CALC'!D19</f>
        <v>PROJETO EXECUTIVO DE PREVENÇÃO E COMBATE A INCÊNDIO</v>
      </c>
      <c r="E23" s="204" t="str">
        <f>'MM CALC'!E19</f>
        <v>PR A1</v>
      </c>
      <c r="F23" s="187">
        <f>'MM CALC'!F19</f>
        <v>1</v>
      </c>
      <c r="G23" s="239"/>
      <c r="H23" s="240"/>
      <c r="I23" s="240"/>
    </row>
    <row r="24" spans="1:11" s="4" customFormat="1" x14ac:dyDescent="0.2">
      <c r="A24" s="236" t="s">
        <v>567</v>
      </c>
      <c r="B24" s="183" t="str">
        <f>'MM CALC'!B20</f>
        <v>SEINFRA</v>
      </c>
      <c r="C24" s="137" t="str">
        <f>'MM CALC'!C20</f>
        <v>CO-27434</v>
      </c>
      <c r="D24" s="197" t="str">
        <f>'MM CALC'!D20</f>
        <v>PROJETO EXECUTIVO DE SPDA</v>
      </c>
      <c r="E24" s="204" t="str">
        <f>'MM CALC'!E20</f>
        <v>PR A1</v>
      </c>
      <c r="F24" s="187">
        <f>'MM CALC'!F20</f>
        <v>1</v>
      </c>
      <c r="G24" s="239"/>
      <c r="H24" s="240"/>
      <c r="I24" s="240"/>
    </row>
    <row r="25" spans="1:11" s="57" customFormat="1" ht="11.25" x14ac:dyDescent="0.2">
      <c r="A25" s="138">
        <f>'MM CALC'!A21</f>
        <v>2</v>
      </c>
      <c r="B25" s="138"/>
      <c r="C25" s="138"/>
      <c r="D25" s="237" t="str">
        <f>'MM CALC'!D21</f>
        <v>SERVIÇOS PRELIMINARES</v>
      </c>
      <c r="E25" s="149"/>
      <c r="F25" s="144"/>
      <c r="G25" s="142"/>
      <c r="H25" s="142"/>
      <c r="I25" s="242"/>
      <c r="K25" s="103"/>
    </row>
    <row r="26" spans="1:11" s="57" customFormat="1" ht="33.75" customHeight="1" x14ac:dyDescent="0.2">
      <c r="A26" s="236" t="str">
        <f>'MM CALC'!A22</f>
        <v>2.1</v>
      </c>
      <c r="B26" s="137" t="str">
        <f>'MM CALC'!B22</f>
        <v>SEINFRA</v>
      </c>
      <c r="C26" s="137" t="str">
        <f>'MM CALC'!C22</f>
        <v>ED-50703</v>
      </c>
      <c r="D26" s="197" t="str">
        <f>'MM CALC'!D22</f>
        <v>LIMPEZA DE TERRENO, INCLUSIVE CAPINA, RASTELAMENTO COM AFASTAMENTO ATÉ VINTE (20) METROS E QUEIMA CONTROLADA</v>
      </c>
      <c r="E26" s="217" t="str">
        <f>'MM CALC'!E22</f>
        <v>m²</v>
      </c>
      <c r="F26" s="182">
        <f>'MM CALC'!F22</f>
        <v>324</v>
      </c>
      <c r="G26" s="239"/>
      <c r="H26" s="240"/>
      <c r="I26" s="240"/>
      <c r="K26" s="103"/>
    </row>
    <row r="27" spans="1:11" s="52" customFormat="1" ht="67.5" x14ac:dyDescent="0.2">
      <c r="A27" s="236" t="str">
        <f>'MM CALC'!A23</f>
        <v>2.2</v>
      </c>
      <c r="B27" s="137" t="str">
        <f>'MM CALC'!B23</f>
        <v>SEINFRA</v>
      </c>
      <c r="C27" s="137" t="str">
        <f>'MM CALC'!C23</f>
        <v>ED-28427</v>
      </c>
      <c r="D27" s="197" t="str">
        <f>'MM CALC'!D23</f>
        <v>FORNECIMENTO E COLOCAÇÃO DE PLACA DE OBRA EM CHAPA
GALVANIZADA #26, ESP. 0,45MM, DIMENSÃO (3X1,5)M, PLOTADA
COM ADESIVO VINÍLICO, AFIXADA COM REBITES 4,8X40MM, EM
ESTRUTURA METÁLICA DE METALON 20X20MM, ESP. 1,25MM,
INCLUSIVE SUPORTE EM EUCALIPTO AUTOCLAVADO PINTADO
COM TINTA PVA DUAS (2) DEMÃOS</v>
      </c>
      <c r="E27" s="217" t="str">
        <f>'MM CALC'!E23</f>
        <v>u</v>
      </c>
      <c r="F27" s="182">
        <f>'MM CALC'!F23</f>
        <v>1</v>
      </c>
      <c r="G27" s="240"/>
      <c r="H27" s="240"/>
      <c r="I27" s="240"/>
      <c r="K27" s="104"/>
    </row>
    <row r="28" spans="1:11" s="52" customFormat="1" ht="45" x14ac:dyDescent="0.2">
      <c r="A28" s="236" t="str">
        <f>'MM CALC'!A24</f>
        <v>2.3</v>
      </c>
      <c r="B28" s="137" t="str">
        <f>'MM CALC'!B24</f>
        <v>SEINFRA</v>
      </c>
      <c r="C28" s="137" t="str">
        <f>'MM CALC'!C24</f>
        <v>ED-17989</v>
      </c>
      <c r="D28" s="197" t="str">
        <f>'MM CALC'!D24</f>
        <v>LOCAÇÃO DE OBRA COM GABARITO DE TÁBUAS CORRIDAS
PONTALETADAS A CADA 2,00M, REAPROVEITAMENTO (2X),
INCLUSIVE ACOMPANHAMENTO DE EQUIPE TOPOGRÁFICA PARA
MARCAÇÃO DE PONTO TOPOGRÁFICO</v>
      </c>
      <c r="E28" s="217" t="str">
        <f>'MM CALC'!E24</f>
        <v>m</v>
      </c>
      <c r="F28" s="182">
        <f>'MM CALC'!F24</f>
        <v>48.3</v>
      </c>
      <c r="G28" s="240"/>
      <c r="H28" s="240"/>
      <c r="I28" s="240"/>
      <c r="K28" s="102"/>
    </row>
    <row r="29" spans="1:11" s="57" customFormat="1" ht="11.25" x14ac:dyDescent="0.2">
      <c r="A29" s="138">
        <f>'MM CALC'!A25</f>
        <v>3</v>
      </c>
      <c r="B29" s="147"/>
      <c r="C29" s="148"/>
      <c r="D29" s="140" t="str">
        <f>'MM CALC'!D25</f>
        <v>TRABALHOS EM TERRA</v>
      </c>
      <c r="E29" s="139"/>
      <c r="F29" s="141"/>
      <c r="G29" s="142"/>
      <c r="H29" s="142"/>
      <c r="I29" s="242">
        <f>SUM(I30:I32)</f>
        <v>0</v>
      </c>
      <c r="K29" s="105"/>
    </row>
    <row r="30" spans="1:11" s="52" customFormat="1" ht="11.25" x14ac:dyDescent="0.2">
      <c r="A30" s="137" t="str">
        <f>'MM CALC'!A26</f>
        <v>3.1</v>
      </c>
      <c r="B30" s="137" t="str">
        <f>'MM CALC'!B26</f>
        <v>SEINFRA</v>
      </c>
      <c r="C30" s="180" t="str">
        <f>'MM CALC'!C26</f>
        <v>ED-51107</v>
      </c>
      <c r="D30" s="181" t="str">
        <f>'MM CALC'!D26</f>
        <v>ESCAVAÇÃO MANUAL DE VALAS H &lt;= 1,50 M</v>
      </c>
      <c r="E30" s="180" t="str">
        <f>'MM CALC'!E26</f>
        <v>m³</v>
      </c>
      <c r="F30" s="182">
        <f>'MM CALC'!F26</f>
        <v>19.570000000000004</v>
      </c>
      <c r="G30" s="240"/>
      <c r="H30" s="240"/>
      <c r="I30" s="240"/>
      <c r="K30" s="104"/>
    </row>
    <row r="31" spans="1:11" s="52" customFormat="1" ht="11.25" x14ac:dyDescent="0.2">
      <c r="A31" s="137" t="str">
        <f>'MM CALC'!A27</f>
        <v>3.2</v>
      </c>
      <c r="B31" s="137" t="str">
        <f>'MM CALC'!B27</f>
        <v>SEINFRA</v>
      </c>
      <c r="C31" s="180" t="str">
        <f>'MM CALC'!C27</f>
        <v>ED-51093</v>
      </c>
      <c r="D31" s="181" t="str">
        <f>'MM CALC'!D27</f>
        <v>APILOAMENTO DO FUNDO DE VALAS COM SOQUETE</v>
      </c>
      <c r="E31" s="180" t="str">
        <f>'MM CALC'!E27</f>
        <v>m²</v>
      </c>
      <c r="F31" s="182">
        <f>'MM CALC'!F27</f>
        <v>34.520000000000003</v>
      </c>
      <c r="G31" s="240"/>
      <c r="H31" s="240"/>
      <c r="I31" s="240"/>
      <c r="K31" s="104"/>
    </row>
    <row r="32" spans="1:11" s="52" customFormat="1" ht="22.5" x14ac:dyDescent="0.2">
      <c r="A32" s="137" t="str">
        <f>'MM CALC'!A28</f>
        <v>3.3</v>
      </c>
      <c r="B32" s="137" t="str">
        <f>'MM CALC'!B28</f>
        <v>SEINFRA</v>
      </c>
      <c r="C32" s="180" t="str">
        <f>'MM CALC'!C28</f>
        <v>ED-51120</v>
      </c>
      <c r="D32" s="181" t="str">
        <f>'MM CALC'!D28</f>
        <v>REATERRO MANUAL DE VALA, INCLUSIVE ESPALHAMENTO E
COMPACTAÇÃO MANUAL COM SOQUETE</v>
      </c>
      <c r="E32" s="180" t="str">
        <f>'MM CALC'!E28</f>
        <v>m³</v>
      </c>
      <c r="F32" s="182">
        <f>'MM CALC'!F28</f>
        <v>9.5244000000000035</v>
      </c>
      <c r="G32" s="240"/>
      <c r="H32" s="240"/>
      <c r="I32" s="240"/>
      <c r="K32" s="104"/>
    </row>
    <row r="33" spans="1:11" s="57" customFormat="1" ht="11.25" x14ac:dyDescent="0.2">
      <c r="A33" s="138">
        <f>'MM CALC'!A29</f>
        <v>4</v>
      </c>
      <c r="B33" s="138"/>
      <c r="C33" s="139"/>
      <c r="D33" s="140" t="str">
        <f>'MM CALC'!D29</f>
        <v>ESTRUTURAS EM CONCRETO ARMADO</v>
      </c>
      <c r="E33" s="139"/>
      <c r="F33" s="141"/>
      <c r="G33" s="142"/>
      <c r="H33" s="142"/>
      <c r="I33" s="245"/>
      <c r="K33" s="103"/>
    </row>
    <row r="34" spans="1:11" s="57" customFormat="1" ht="11.25" x14ac:dyDescent="0.2">
      <c r="A34" s="150" t="str">
        <f>'MM CALC'!A30</f>
        <v>4.1</v>
      </c>
      <c r="B34" s="150"/>
      <c r="C34" s="151"/>
      <c r="D34" s="152" t="str">
        <f>'MM CALC'!D30</f>
        <v>FUNDAÇÃO - SAPATAS E PILARES DE ARRANQUE</v>
      </c>
      <c r="E34" s="151"/>
      <c r="F34" s="153"/>
      <c r="G34" s="154"/>
      <c r="H34" s="154"/>
      <c r="I34" s="154"/>
      <c r="K34" s="103"/>
    </row>
    <row r="35" spans="1:11" s="52" customFormat="1" ht="22.5" x14ac:dyDescent="0.2">
      <c r="A35" s="137" t="str">
        <f>'MM CALC'!A31</f>
        <v>4.1.1</v>
      </c>
      <c r="B35" s="137" t="str">
        <f>'MM CALC'!B31</f>
        <v>SEINFRA</v>
      </c>
      <c r="C35" s="180" t="str">
        <f>'MM CALC'!C31</f>
        <v>ED-49812</v>
      </c>
      <c r="D35" s="181" t="str">
        <f>'MM CALC'!D31</f>
        <v>LASTRO DE CONCRETO MAGRO, INCLUSIVE TRANSPORTE, LANÇAMENTO E ADENSAMENTO</v>
      </c>
      <c r="E35" s="180" t="str">
        <f>'MM CALC'!E31</f>
        <v>m³</v>
      </c>
      <c r="F35" s="182">
        <f>'MM CALC'!F31</f>
        <v>1.7260000000000004</v>
      </c>
      <c r="G35" s="240"/>
      <c r="H35" s="240"/>
      <c r="I35" s="240"/>
      <c r="K35" s="104"/>
    </row>
    <row r="36" spans="1:11" s="52" customFormat="1" ht="22.5" x14ac:dyDescent="0.2">
      <c r="A36" s="137" t="str">
        <f>'MM CALC'!A32</f>
        <v>4.1.2</v>
      </c>
      <c r="B36" s="137" t="str">
        <f>'MM CALC'!B32</f>
        <v>SEINFRA</v>
      </c>
      <c r="C36" s="180" t="str">
        <f>'MM CALC'!C32</f>
        <v>ED-49810</v>
      </c>
      <c r="D36" s="181" t="str">
        <f>'MM CALC'!D32</f>
        <v>FORMA E DESFORMA DE TÁBUA E SARRAFO, REAPROVEITAMENTO (3X) (FUNDAÇÃO)</v>
      </c>
      <c r="E36" s="180" t="str">
        <f>'MM CALC'!E32</f>
        <v>m²</v>
      </c>
      <c r="F36" s="182">
        <f>'MM CALC'!F32</f>
        <v>32.723999999999997</v>
      </c>
      <c r="G36" s="240"/>
      <c r="H36" s="240"/>
      <c r="I36" s="240"/>
      <c r="K36" s="104"/>
    </row>
    <row r="37" spans="1:11" s="52" customFormat="1" ht="33.75" x14ac:dyDescent="0.2">
      <c r="A37" s="137" t="str">
        <f>'MM CALC'!A33</f>
        <v>4.1.3</v>
      </c>
      <c r="B37" s="137" t="str">
        <f>'MM CALC'!B33</f>
        <v>SEINFRA</v>
      </c>
      <c r="C37" s="180" t="str">
        <f>'MM CALC'!C33</f>
        <v>ED-49787</v>
      </c>
      <c r="D37" s="181" t="str">
        <f>'MM CALC'!D33</f>
        <v>FORNECIMENTO DE CONCRETO ESTRUTURAL, PREPARADO EM OBRA COM BETONEIRA, COM FCK 25 MPA, INCLUSIVE LANÇAMENTO, ADENSAMENTO E ACABAMENTO (FUNDAÇÃO)</v>
      </c>
      <c r="E37" s="180" t="str">
        <f>'MM CALC'!E33</f>
        <v>m³</v>
      </c>
      <c r="F37" s="182">
        <f>'MM CALC'!F33</f>
        <v>4.1795999999999998</v>
      </c>
      <c r="G37" s="240"/>
      <c r="H37" s="240"/>
      <c r="I37" s="240"/>
      <c r="K37" s="104"/>
    </row>
    <row r="38" spans="1:11" s="52" customFormat="1" ht="11.25" x14ac:dyDescent="0.2">
      <c r="A38" s="137" t="str">
        <f>'MM CALC'!A34</f>
        <v>4.1.4</v>
      </c>
      <c r="B38" s="137" t="str">
        <f>'MM CALC'!B34</f>
        <v>SEINFRA</v>
      </c>
      <c r="C38" s="180" t="str">
        <f>'MM CALC'!C34</f>
        <v>ED-48298</v>
      </c>
      <c r="D38" s="181" t="str">
        <f>'MM CALC'!D34</f>
        <v>CORTE, DOBRA E MONTAGEM DE AÇO CA-50/60</v>
      </c>
      <c r="E38" s="180" t="str">
        <f>'MM CALC'!E34</f>
        <v>kg</v>
      </c>
      <c r="F38" s="182" t="e">
        <f>'MM CALC'!F34</f>
        <v>#REF!</v>
      </c>
      <c r="G38" s="240"/>
      <c r="H38" s="240"/>
      <c r="I38" s="240"/>
      <c r="K38" s="104"/>
    </row>
    <row r="39" spans="1:11" s="57" customFormat="1" ht="11.25" x14ac:dyDescent="0.2">
      <c r="A39" s="150" t="str">
        <f>'MM CALC'!A35</f>
        <v>4.2</v>
      </c>
      <c r="B39" s="150"/>
      <c r="C39" s="151"/>
      <c r="D39" s="152" t="str">
        <f>'MM CALC'!D35</f>
        <v>FUNDAÇÃO - VIGAS BALDRAME</v>
      </c>
      <c r="E39" s="151"/>
      <c r="F39" s="153"/>
      <c r="G39" s="154"/>
      <c r="H39" s="154"/>
      <c r="I39" s="154"/>
      <c r="K39" s="103"/>
    </row>
    <row r="40" spans="1:11" s="52" customFormat="1" ht="33.75" x14ac:dyDescent="0.2">
      <c r="A40" s="137" t="str">
        <f>'MM CALC'!A36</f>
        <v>4.2.1</v>
      </c>
      <c r="B40" s="137" t="str">
        <f>'MM CALC'!B36</f>
        <v>SEINFRA</v>
      </c>
      <c r="C40" s="180" t="str">
        <f>'MM CALC'!C36</f>
        <v>ED-49787</v>
      </c>
      <c r="D40" s="181" t="str">
        <f>'MM CALC'!D36</f>
        <v>FORNECIMENTO DE CONCRETO ESTRUTURAL, PREPARADO EM OBRA COM BETONEIRA, COM FCK 25MPA ,INCLUSIVE LANÇAMENTO, ADENSAMENTO E ACABAMENTO (FUNDAÇÃO)</v>
      </c>
      <c r="E40" s="180" t="str">
        <f>'MM CALC'!E36</f>
        <v>m³</v>
      </c>
      <c r="F40" s="182">
        <f>'MM CALC'!F36</f>
        <v>4.1399999999999997</v>
      </c>
      <c r="G40" s="240"/>
      <c r="H40" s="240"/>
      <c r="I40" s="240"/>
      <c r="K40" s="104"/>
    </row>
    <row r="41" spans="1:11" s="52" customFormat="1" ht="22.5" x14ac:dyDescent="0.2">
      <c r="A41" s="137" t="str">
        <f>'MM CALC'!A37</f>
        <v>4.2.2</v>
      </c>
      <c r="B41" s="137" t="str">
        <f>'MM CALC'!B37</f>
        <v>SEINFRA</v>
      </c>
      <c r="C41" s="180" t="str">
        <f>'MM CALC'!C37</f>
        <v>ED-49810</v>
      </c>
      <c r="D41" s="181" t="str">
        <f>'MM CALC'!D37</f>
        <v>FORMA E DESFORMA DE TÁBUA E SARRAFO, REAPROVEITAMENTO (3X) (FUNDAÇÃO)</v>
      </c>
      <c r="E41" s="180" t="str">
        <f>'MM CALC'!E37</f>
        <v>m²</v>
      </c>
      <c r="F41" s="182">
        <f>'MM CALC'!F37</f>
        <v>55.199999999999996</v>
      </c>
      <c r="G41" s="240"/>
      <c r="H41" s="240"/>
      <c r="I41" s="240"/>
      <c r="K41" s="104"/>
    </row>
    <row r="42" spans="1:11" s="52" customFormat="1" ht="11.25" x14ac:dyDescent="0.2">
      <c r="A42" s="137" t="str">
        <f>'MM CALC'!A38</f>
        <v>4.2.3</v>
      </c>
      <c r="B42" s="137" t="str">
        <f>'MM CALC'!B38</f>
        <v>SEINFRA</v>
      </c>
      <c r="C42" s="180" t="str">
        <f>'MM CALC'!C38</f>
        <v>ED-48298</v>
      </c>
      <c r="D42" s="181" t="str">
        <f>'MM CALC'!D38</f>
        <v>CORTE, DOBRA E MONTAGEM DE AÇO CA-50/60</v>
      </c>
      <c r="E42" s="180" t="str">
        <f>'MM CALC'!E38</f>
        <v>kg</v>
      </c>
      <c r="F42" s="182" t="e">
        <f>'MM CALC'!F38</f>
        <v>#REF!</v>
      </c>
      <c r="G42" s="240"/>
      <c r="H42" s="240"/>
      <c r="I42" s="240"/>
      <c r="K42" s="104"/>
    </row>
    <row r="43" spans="1:11" s="57" customFormat="1" ht="11.25" x14ac:dyDescent="0.2">
      <c r="A43" s="150" t="str">
        <f>'MM CALC'!A39</f>
        <v>4.3</v>
      </c>
      <c r="B43" s="150"/>
      <c r="C43" s="151"/>
      <c r="D43" s="152" t="str">
        <f>'MM CALC'!D39</f>
        <v>SUPERESTRUTURA - PILARES E VIGAS</v>
      </c>
      <c r="E43" s="151"/>
      <c r="F43" s="153"/>
      <c r="G43" s="154"/>
      <c r="H43" s="154"/>
      <c r="I43" s="154"/>
      <c r="K43" s="103"/>
    </row>
    <row r="44" spans="1:11" s="52" customFormat="1" ht="22.5" x14ac:dyDescent="0.2">
      <c r="A44" s="137" t="str">
        <f>'MM CALC'!A40</f>
        <v>4.3.1</v>
      </c>
      <c r="B44" s="137" t="str">
        <f>'MM CALC'!B40</f>
        <v>SEINFRA</v>
      </c>
      <c r="C44" s="180" t="str">
        <f>'MM CALC'!C40</f>
        <v>ED-49644</v>
      </c>
      <c r="D44" s="181" t="str">
        <f>'MM CALC'!D40</f>
        <v>FORMA E DESFORMA DE COMPENSADO RESINADO, ESP. 10MM, REAPROVEITAMENTO (3X), EXCLUSIVE ESCORAMENTO</v>
      </c>
      <c r="E44" s="180" t="str">
        <f>'MM CALC'!E40</f>
        <v>m²</v>
      </c>
      <c r="F44" s="182">
        <f>'MM CALC'!F40</f>
        <v>107.8176</v>
      </c>
      <c r="G44" s="240"/>
      <c r="H44" s="240"/>
      <c r="I44" s="240"/>
      <c r="K44" s="104"/>
    </row>
    <row r="45" spans="1:11" s="52" customFormat="1" ht="33.75" x14ac:dyDescent="0.2">
      <c r="A45" s="137" t="str">
        <f>'MM CALC'!A41</f>
        <v>4.3.2</v>
      </c>
      <c r="B45" s="137" t="str">
        <f>'MM CALC'!B41</f>
        <v>SEINFRA</v>
      </c>
      <c r="C45" s="180" t="str">
        <f>'MM CALC'!C41</f>
        <v>ED-49619</v>
      </c>
      <c r="D45" s="181" t="str">
        <f>'MM CALC'!D41</f>
        <v>FORNECIMENTO DE CONCRETO ESTRUTURAL, PREPARADO EM OBRA, COM FCK 25MPA, INCLUSIVE LANÇAMENTO, ADENSAMENTO E ACABAMENTO</v>
      </c>
      <c r="E45" s="180" t="str">
        <f>'MM CALC'!E41</f>
        <v>m³</v>
      </c>
      <c r="F45" s="182">
        <f>'MM CALC'!F41</f>
        <v>5.5670400000000004</v>
      </c>
      <c r="G45" s="240"/>
      <c r="H45" s="240"/>
      <c r="I45" s="240"/>
      <c r="K45" s="104"/>
    </row>
    <row r="46" spans="1:11" s="52" customFormat="1" ht="11.25" x14ac:dyDescent="0.2">
      <c r="A46" s="137" t="str">
        <f>'MM CALC'!A42</f>
        <v>4.3.3</v>
      </c>
      <c r="B46" s="137" t="str">
        <f>'MM CALC'!B42</f>
        <v>SEINFRA</v>
      </c>
      <c r="C46" s="180" t="str">
        <f>'MM CALC'!C42</f>
        <v>ED-48298</v>
      </c>
      <c r="D46" s="181" t="str">
        <f>'MM CALC'!D42</f>
        <v>CORTE, DOBRA E MONTAGEM DE AÇO CA-50/60</v>
      </c>
      <c r="E46" s="180" t="str">
        <f>'MM CALC'!E42</f>
        <v>kg</v>
      </c>
      <c r="F46" s="182" t="e">
        <f>'MM CALC'!F42</f>
        <v>#REF!</v>
      </c>
      <c r="G46" s="240"/>
      <c r="H46" s="240"/>
      <c r="I46" s="240"/>
      <c r="K46" s="104"/>
    </row>
    <row r="47" spans="1:11" s="57" customFormat="1" ht="11.25" x14ac:dyDescent="0.2">
      <c r="A47" s="150" t="str">
        <f>'MM CALC'!A43</f>
        <v>4.4</v>
      </c>
      <c r="B47" s="150"/>
      <c r="C47" s="151"/>
      <c r="D47" s="152" t="str">
        <f>'MM CALC'!D43</f>
        <v>LAJES DE TETO</v>
      </c>
      <c r="E47" s="151"/>
      <c r="F47" s="153"/>
      <c r="G47" s="154"/>
      <c r="H47" s="155"/>
      <c r="I47" s="154"/>
      <c r="K47" s="103"/>
    </row>
    <row r="48" spans="1:11" s="52" customFormat="1" ht="22.5" x14ac:dyDescent="0.2">
      <c r="A48" s="137" t="str">
        <f>'MM CALC'!A44</f>
        <v>4.4.1</v>
      </c>
      <c r="B48" s="137" t="str">
        <f>'MM CALC'!B44</f>
        <v>SEINFRA</v>
      </c>
      <c r="C48" s="180" t="str">
        <f>'MM CALC'!C44</f>
        <v>ED-50260</v>
      </c>
      <c r="D48" s="181" t="str">
        <f>'MM CALC'!D44</f>
        <v>LAJE PRÉ-MOLDADA, A REVESTIR, INCLUSIVE CAPEAMENTO E = 4 CM, SC = 300 KG/M2, L = 4,00 M</v>
      </c>
      <c r="E48" s="180" t="str">
        <f>'MM CALC'!E44</f>
        <v>m²</v>
      </c>
      <c r="F48" s="182">
        <f>'MM CALC'!F44</f>
        <v>84.95</v>
      </c>
      <c r="G48" s="240"/>
      <c r="H48" s="240"/>
      <c r="I48" s="240"/>
      <c r="K48" s="104"/>
    </row>
    <row r="49" spans="1:11" s="52" customFormat="1" ht="33.75" x14ac:dyDescent="0.2">
      <c r="A49" s="137" t="str">
        <f>'MM CALC'!A45</f>
        <v>4.4.2</v>
      </c>
      <c r="B49" s="137" t="str">
        <f>'MM CALC'!B45</f>
        <v>SEINFRA</v>
      </c>
      <c r="C49" s="180" t="str">
        <f>'MM CALC'!C45</f>
        <v>ED-19637</v>
      </c>
      <c r="D49" s="181" t="str">
        <f>'MM CALC'!D45</f>
        <v>CIMBRAMENTO PARA LAJE PRÉ-MOLDADA COM ESCORAMENTO METÁLICO, TIPO "A", ALTURA DE (200 ATÉ 310)CM, INCLUSIVE DESCARGA, MONTAGEM, DESMONTAGEM E CARGA</v>
      </c>
      <c r="E49" s="180" t="str">
        <f>'MM CALC'!E45</f>
        <v>m2xmês</v>
      </c>
      <c r="F49" s="182">
        <f>'MM CALC'!F45</f>
        <v>84.95</v>
      </c>
      <c r="G49" s="240"/>
      <c r="H49" s="240"/>
      <c r="I49" s="240"/>
      <c r="K49" s="104"/>
    </row>
    <row r="50" spans="1:11" s="52" customFormat="1" ht="11.25" x14ac:dyDescent="0.2">
      <c r="A50" s="137" t="str">
        <f>'MM CALC'!A46</f>
        <v>4.4.3</v>
      </c>
      <c r="B50" s="137" t="str">
        <f>'MM CALC'!B46</f>
        <v>SEINFRA</v>
      </c>
      <c r="C50" s="180" t="str">
        <f>'MM CALC'!C46</f>
        <v>ED-48298</v>
      </c>
      <c r="D50" s="181" t="str">
        <f>'MM CALC'!D46</f>
        <v>CORTE, DOBRA E MONTAGEM DE AÇO CA-50/60</v>
      </c>
      <c r="E50" s="180" t="str">
        <f>'MM CALC'!E46</f>
        <v>kg</v>
      </c>
      <c r="F50" s="182" t="e">
        <f>'MM CALC'!F46</f>
        <v>#REF!</v>
      </c>
      <c r="G50" s="240"/>
      <c r="H50" s="240"/>
      <c r="I50" s="240"/>
      <c r="K50" s="104"/>
    </row>
    <row r="51" spans="1:11" s="57" customFormat="1" ht="11.25" x14ac:dyDescent="0.2">
      <c r="A51" s="138">
        <f>'MM CALC'!A47</f>
        <v>5</v>
      </c>
      <c r="B51" s="138"/>
      <c r="C51" s="139"/>
      <c r="D51" s="140" t="str">
        <f>'MM CALC'!D47</f>
        <v>VEDAÇÕES, PISOS, COBERTURAS, ESQUADRIAS, ACABAMENTOS E ACESSÓRIOS</v>
      </c>
      <c r="E51" s="139"/>
      <c r="F51" s="141"/>
      <c r="G51" s="146"/>
      <c r="H51" s="146"/>
      <c r="I51" s="245"/>
      <c r="K51" s="103"/>
    </row>
    <row r="52" spans="1:11" s="57" customFormat="1" ht="11.25" x14ac:dyDescent="0.2">
      <c r="A52" s="150" t="str">
        <f>'MM CALC'!A48</f>
        <v>5.1</v>
      </c>
      <c r="B52" s="150"/>
      <c r="C52" s="151"/>
      <c r="D52" s="152" t="str">
        <f>'MM CALC'!D48</f>
        <v>ALVENARIAS/REVESTIMENTOS</v>
      </c>
      <c r="E52" s="151"/>
      <c r="F52" s="153"/>
      <c r="G52" s="154"/>
      <c r="H52" s="156"/>
      <c r="I52" s="154"/>
      <c r="K52" s="103"/>
    </row>
    <row r="53" spans="1:11" s="52" customFormat="1" ht="33.75" x14ac:dyDescent="0.2">
      <c r="A53" s="137" t="str">
        <f>'MM CALC'!A49</f>
        <v>5.1.1</v>
      </c>
      <c r="B53" s="137" t="str">
        <f>'MM CALC'!B49</f>
        <v>SEINFRA</v>
      </c>
      <c r="C53" s="180" t="str">
        <f>'MM CALC'!C49</f>
        <v>ED-48231</v>
      </c>
      <c r="D53" s="181" t="str">
        <f>'MM CALC'!D49</f>
        <v>ALVENARIA DE VEDAÇÃO COM TIJOLO CERÂMICO FURADO, ESP. 9CM, PARA REVESTIMENTO, INCLUSIVE ARGAMASSA PARA ASSENTAMENTO</v>
      </c>
      <c r="E53" s="180" t="str">
        <f>'MM CALC'!E49</f>
        <v>m²</v>
      </c>
      <c r="F53" s="182">
        <f>'MM CALC'!F49</f>
        <v>261.73399999999998</v>
      </c>
      <c r="G53" s="240"/>
      <c r="H53" s="240"/>
      <c r="I53" s="240"/>
      <c r="K53" s="104"/>
    </row>
    <row r="54" spans="1:11" s="52" customFormat="1" ht="33.75" x14ac:dyDescent="0.2">
      <c r="A54" s="137" t="str">
        <f>'MM CALC'!A50</f>
        <v>5.1.2</v>
      </c>
      <c r="B54" s="137" t="str">
        <f>'MM CALC'!B50</f>
        <v>SEINFRA</v>
      </c>
      <c r="C54" s="180" t="str">
        <f>'MM CALC'!C50</f>
        <v>ED-50727</v>
      </c>
      <c r="D54" s="181" t="str">
        <f>'MM CALC'!D50</f>
        <v>CHAPISCO COM ARGAMASSA, TRAÇO 1:3 (CIMENTO E AREIA), ESP. 5MM, APLICADO EM ALVENARIA/ESTRUTURA DE CONCRETO COM COLHER, PREPARO MECÂNICO</v>
      </c>
      <c r="E54" s="180" t="str">
        <f>'MM CALC'!E50</f>
        <v>m²</v>
      </c>
      <c r="F54" s="182">
        <f>'MM CALC'!F50</f>
        <v>523.46</v>
      </c>
      <c r="G54" s="240"/>
      <c r="H54" s="240"/>
      <c r="I54" s="240"/>
      <c r="K54" s="104"/>
    </row>
    <row r="55" spans="1:11" s="52" customFormat="1" ht="33.75" x14ac:dyDescent="0.2">
      <c r="A55" s="137" t="str">
        <f>'MM CALC'!A51</f>
        <v>5.1.3</v>
      </c>
      <c r="B55" s="137" t="str">
        <f>'MM CALC'!B51</f>
        <v>SEINFRA</v>
      </c>
      <c r="C55" s="180" t="str">
        <f>'MM CALC'!C51</f>
        <v>ED-50762</v>
      </c>
      <c r="D55" s="181" t="str">
        <f>'MM CALC'!D51</f>
        <v>REVESTIMENTO COM ARGAMASSA EM CAMADA ÚNICA, APLICADO EM PAREDE, TRAÇO 1:3 (CIMENTO E AREIA), ESP. 20MM, APLICAÇÃO MANUAL, PREPARO MECÂNICO</v>
      </c>
      <c r="E55" s="180" t="str">
        <f>'MM CALC'!E51</f>
        <v>m²</v>
      </c>
      <c r="F55" s="182">
        <f>'MM CALC'!F51</f>
        <v>523.46</v>
      </c>
      <c r="G55" s="240"/>
      <c r="H55" s="240"/>
      <c r="I55" s="240"/>
      <c r="K55" s="104"/>
    </row>
    <row r="56" spans="1:11" s="52" customFormat="1" ht="33.75" x14ac:dyDescent="0.2">
      <c r="A56" s="137" t="str">
        <f>'MM CALC'!A52</f>
        <v>5.1.4</v>
      </c>
      <c r="B56" s="137" t="str">
        <f>'MM CALC'!B52</f>
        <v>SEINFRA</v>
      </c>
      <c r="C56" s="180" t="str">
        <f>'MM CALC'!C52</f>
        <v>ED-50728</v>
      </c>
      <c r="D56" s="181" t="str">
        <f>'MM CALC'!D52</f>
        <v>CHAPISCO COM ARGAMASSA, TRAÇO 1:3 (CIMENTO E AREIA), ESP. 5MM, APLICADO EM TETO COM COLHER, PREPARO MECÂNICO</v>
      </c>
      <c r="E56" s="180" t="str">
        <f>'MM CALC'!E52</f>
        <v>m²</v>
      </c>
      <c r="F56" s="182">
        <f>'MM CALC'!F52</f>
        <v>84.95</v>
      </c>
      <c r="G56" s="240"/>
      <c r="H56" s="240"/>
      <c r="I56" s="240"/>
      <c r="K56" s="104"/>
    </row>
    <row r="57" spans="1:11" s="52" customFormat="1" ht="33.75" x14ac:dyDescent="0.2">
      <c r="A57" s="137" t="str">
        <f>'MM CALC'!A53</f>
        <v>5.1.5</v>
      </c>
      <c r="B57" s="137" t="str">
        <f>'MM CALC'!B53</f>
        <v>SEINFRA</v>
      </c>
      <c r="C57" s="180" t="str">
        <f>'MM CALC'!C53</f>
        <v>ED-50763</v>
      </c>
      <c r="D57" s="181" t="str">
        <f>'MM CALC'!D53</f>
        <v>REVESTIMENTO COM ARGAMASSA EM CAMADA ÚNICA, APLICADO EM TETO, TRAÇO 1:3 (CIMENTO E AREIA), ESP. 20MM, APLICAÇÃO MANUAL, PREPARO MECÂNICO</v>
      </c>
      <c r="E57" s="180" t="str">
        <f>'MM CALC'!E53</f>
        <v>m²</v>
      </c>
      <c r="F57" s="182">
        <f>'MM CALC'!F53</f>
        <v>84.95</v>
      </c>
      <c r="G57" s="240"/>
      <c r="H57" s="240"/>
      <c r="I57" s="240"/>
      <c r="K57" s="104"/>
    </row>
    <row r="58" spans="1:11" s="52" customFormat="1" ht="45" x14ac:dyDescent="0.2">
      <c r="A58" s="137" t="str">
        <f>'MM CALC'!A54</f>
        <v>5.1.6</v>
      </c>
      <c r="B58" s="137" t="str">
        <f>'MM CALC'!B54</f>
        <v>SEINFRA</v>
      </c>
      <c r="C58" s="180" t="str">
        <f>'MM CALC'!C54</f>
        <v>ED-16320</v>
      </c>
      <c r="D58" s="181" t="str">
        <f>'MM CALC'!D54</f>
        <v>MURO DIVISÓRIO DE TIJOLO FURADO COM ALTURA 250CM, COM PILARETES DE 16X9CM A CADA 250CM, SAPATA DE CONCRETO ARMADO 30X20CM E PINGADEIRA, REBOCADO E PINTADO A LÁTEX, INCLUSIVE ESCAVAÇÃO, APILOAMENTO E LASTRO</v>
      </c>
      <c r="E58" s="180" t="str">
        <f>'MM CALC'!E54</f>
        <v>m</v>
      </c>
      <c r="F58" s="182">
        <f>'MM CALC'!F54</f>
        <v>69.47</v>
      </c>
      <c r="G58" s="240"/>
      <c r="H58" s="240"/>
      <c r="I58" s="240"/>
      <c r="K58" s="104"/>
    </row>
    <row r="59" spans="1:11" s="57" customFormat="1" ht="11.25" x14ac:dyDescent="0.2">
      <c r="A59" s="150" t="str">
        <f>'MM CALC'!A55</f>
        <v>5.2</v>
      </c>
      <c r="B59" s="150"/>
      <c r="C59" s="157"/>
      <c r="D59" s="152" t="str">
        <f>'MM CALC'!D55</f>
        <v>PISOS</v>
      </c>
      <c r="E59" s="157"/>
      <c r="F59" s="158"/>
      <c r="G59" s="159"/>
      <c r="H59" s="160"/>
      <c r="I59" s="160"/>
      <c r="K59" s="103"/>
    </row>
    <row r="60" spans="1:11" s="52" customFormat="1" ht="22.5" x14ac:dyDescent="0.2">
      <c r="A60" s="137" t="str">
        <f>'MM CALC'!A56</f>
        <v>5.2.1</v>
      </c>
      <c r="B60" s="137" t="str">
        <f>'MM CALC'!B56</f>
        <v>SEINFRA</v>
      </c>
      <c r="C60" s="180" t="str">
        <f>'MM CALC'!C56</f>
        <v>ED-49812</v>
      </c>
      <c r="D60" s="181" t="str">
        <f>'MM CALC'!D56</f>
        <v>LASTRO DE CONCRETO MAGRO, INCLUSIVE TRANSPORTE, LANÇAMENTO E ADENSAMENTO</v>
      </c>
      <c r="E60" s="180" t="str">
        <f>'MM CALC'!E56</f>
        <v>m³</v>
      </c>
      <c r="F60" s="182">
        <f>'MM CALC'!F56</f>
        <v>2.1470999999999996</v>
      </c>
      <c r="G60" s="240"/>
      <c r="H60" s="240"/>
      <c r="I60" s="240"/>
      <c r="K60" s="104"/>
    </row>
    <row r="61" spans="1:11" s="52" customFormat="1" ht="33.75" x14ac:dyDescent="0.2">
      <c r="A61" s="137" t="str">
        <f>'MM CALC'!A57</f>
        <v>5.2.2</v>
      </c>
      <c r="B61" s="137" t="str">
        <f>'MM CALC'!B57</f>
        <v>SEINFRA</v>
      </c>
      <c r="C61" s="180" t="str">
        <f>'MM CALC'!C57</f>
        <v>ED-29581</v>
      </c>
      <c r="D61" s="181" t="str">
        <f>'MM CALC'!D57</f>
        <v>ARMADURA DE TELA DE AÇO CA-60, SOLDADA TIPO Q-92, DIÂMETRO Ø4,2MM, TRAMA COM DIMENSÃO (150X150)MM, INCLUSIVE ESPAÇADOR, EXCLUSIVE CONCRETO</v>
      </c>
      <c r="E61" s="180" t="str">
        <f>'MM CALC'!E57</f>
        <v>m²</v>
      </c>
      <c r="F61" s="182">
        <f>'MM CALC'!F57</f>
        <v>265.75</v>
      </c>
      <c r="G61" s="240"/>
      <c r="H61" s="240"/>
      <c r="I61" s="240"/>
      <c r="K61" s="104"/>
    </row>
    <row r="62" spans="1:11" s="52" customFormat="1" ht="33.75" x14ac:dyDescent="0.2">
      <c r="A62" s="137" t="str">
        <f>'MM CALC'!A58</f>
        <v>5.2.3</v>
      </c>
      <c r="B62" s="137" t="str">
        <f>'MM CALC'!B58</f>
        <v>SEINFRA</v>
      </c>
      <c r="C62" s="180" t="str">
        <f>'MM CALC'!C58</f>
        <v>ED-49787</v>
      </c>
      <c r="D62" s="181" t="str">
        <f>'MM CALC'!D58</f>
        <v>FORNECIMENTO DE CONCRETO ESTRUTURAL, PREPARADO EM OBRA COM BETONEIRA, COM FCK 25MPA, INCLUSIVE LANÇAMENTO, ADENSAMENTO E ACABAMENTO</v>
      </c>
      <c r="E62" s="180" t="str">
        <f>'MM CALC'!E58</f>
        <v>m³</v>
      </c>
      <c r="F62" s="182">
        <f>'MM CALC'!F58</f>
        <v>3.5785</v>
      </c>
      <c r="G62" s="240"/>
      <c r="H62" s="240"/>
      <c r="I62" s="240"/>
      <c r="K62" s="104"/>
    </row>
    <row r="63" spans="1:11" s="52" customFormat="1" ht="22.5" x14ac:dyDescent="0.2">
      <c r="A63" s="137" t="str">
        <f>'MM CALC'!A59</f>
        <v>5.2.4</v>
      </c>
      <c r="B63" s="137" t="str">
        <f>'MM CALC'!B59</f>
        <v>SEINFRA</v>
      </c>
      <c r="C63" s="180" t="str">
        <f>'MM CALC'!C59</f>
        <v>ED-50566</v>
      </c>
      <c r="D63" s="181" t="str">
        <f>'MM CALC'!D59</f>
        <v>CONTRAPISO DESEMPENADO COM ARGAMASSA, TRAÇO 1:3 (CIMENTO E AREIA), ESP. 20MM</v>
      </c>
      <c r="E63" s="180" t="str">
        <f>'MM CALC'!E59</f>
        <v>m²</v>
      </c>
      <c r="F63" s="182">
        <f>'MM CALC'!F59</f>
        <v>71.569999999999993</v>
      </c>
      <c r="G63" s="240"/>
      <c r="H63" s="240"/>
      <c r="I63" s="240"/>
      <c r="K63" s="104"/>
    </row>
    <row r="64" spans="1:11" s="52" customFormat="1" ht="56.25" x14ac:dyDescent="0.2">
      <c r="A64" s="137" t="str">
        <f>'MM CALC'!A60</f>
        <v>5.2.5</v>
      </c>
      <c r="B64" s="137" t="str">
        <f>'MM CALC'!B60</f>
        <v>SEINFRA</v>
      </c>
      <c r="C64" s="180" t="str">
        <f>'MM CALC'!C60</f>
        <v>ED-50754</v>
      </c>
      <c r="D64" s="181" t="str">
        <f>'MM CALC'!D60</f>
        <v>REVESTIMENTO COM PORCELANATO APLICADO EM PISO, ACABAMENTO POLÍDO, AMBIENTE INTERNO, PADRÃO EXTRA, BORDA RETIFICADA, DIMENSÃO DA PEÇA (60X60)CM, ASSENTAMENTO COM ARGAMASSA INDUSTRIALIZADA, INCLUSIVE REJUNTAMENTO</v>
      </c>
      <c r="E64" s="180" t="str">
        <f>'MM CALC'!E60</f>
        <v>m²</v>
      </c>
      <c r="F64" s="182">
        <f>'MM CALC'!F60</f>
        <v>85.883999999999986</v>
      </c>
      <c r="G64" s="240"/>
      <c r="H64" s="240"/>
      <c r="I64" s="240"/>
      <c r="K64" s="104"/>
    </row>
    <row r="65" spans="1:11" s="52" customFormat="1" ht="56.25" x14ac:dyDescent="0.2">
      <c r="A65" s="137" t="str">
        <f>'MM CALC'!A61</f>
        <v>5.2.7</v>
      </c>
      <c r="B65" s="137" t="str">
        <f>'MM CALC'!B61</f>
        <v>SEINFRA</v>
      </c>
      <c r="C65" s="180" t="str">
        <f>'MM CALC'!C61</f>
        <v>ED-9081</v>
      </c>
      <c r="D65" s="181" t="str">
        <f>'MM CALC'!D61</f>
        <v>REVESTIMENTO COM CERÂMICA APLICADO EM PAREDE, ACABAMENTO ESMALTADO, AMBIENTE INTERNO/EXTERNO, PADRÃO EXTRA, DIMENSÃO DA PEÇA ATÉ 2025 CM2, PEIIII, ASSENTAMENTO COM ARGAMASSA INDUSTRIALIZADA, INCLUSIVE REJUNTAMENTO</v>
      </c>
      <c r="E65" s="180" t="str">
        <f>'MM CALC'!E61</f>
        <v>m²</v>
      </c>
      <c r="F65" s="182">
        <f>'MM CALC'!F61</f>
        <v>146.35000000000002</v>
      </c>
      <c r="G65" s="240"/>
      <c r="H65" s="240"/>
      <c r="I65" s="240"/>
      <c r="K65" s="104"/>
    </row>
    <row r="66" spans="1:11" s="52" customFormat="1" ht="45" x14ac:dyDescent="0.2">
      <c r="A66" s="137" t="str">
        <f>'MM CALC'!A62</f>
        <v>5.2.8</v>
      </c>
      <c r="B66" s="137" t="str">
        <f>'MM CALC'!B62</f>
        <v>SEINFRA</v>
      </c>
      <c r="C66" s="180" t="str">
        <f>'MM CALC'!C62</f>
        <v>ED-49788</v>
      </c>
      <c r="D66" s="181" t="str">
        <f>'MM CALC'!D62</f>
        <v>FORNECIMENTO DE CONCRETO ESTRUTURAL, PREPARADO EM OBRA COM BETONEIRA, COM FCK 30MPA, INCLUSIVE LANÇAMENTO, ADENSAMENTO E ACABAMENTO (FUNDAÇÃO) ESP= 8,00 CM</v>
      </c>
      <c r="E66" s="180" t="str">
        <f>'MM CALC'!E62</f>
        <v>m³</v>
      </c>
      <c r="F66" s="182">
        <f>'MM CALC'!F62</f>
        <v>15.534000000000001</v>
      </c>
      <c r="G66" s="240"/>
      <c r="H66" s="240"/>
      <c r="I66" s="240"/>
      <c r="K66" s="104"/>
    </row>
    <row r="67" spans="1:11" s="52" customFormat="1" ht="33.75" x14ac:dyDescent="0.2">
      <c r="A67" s="137" t="str">
        <f>'MM CALC'!A63</f>
        <v>5.2.9</v>
      </c>
      <c r="B67" s="137" t="str">
        <f>'MM CALC'!B63</f>
        <v>SEINFRA</v>
      </c>
      <c r="C67" s="180" t="str">
        <f>'MM CALC'!C63</f>
        <v>ED-50619</v>
      </c>
      <c r="D67" s="181" t="str">
        <f>'MM CALC'!D63</f>
        <v>POLIMENTO MECANIZADO DE SUPERFÍCIE EM CONCRETO, INCLUSIVE ACABAMENTO DE CONCRETAGEM EM NIVELAMENTO A LASER (</v>
      </c>
      <c r="E67" s="180" t="str">
        <f>'MM CALC'!E63</f>
        <v>m²</v>
      </c>
      <c r="F67" s="182">
        <f>'MM CALC'!F63</f>
        <v>194.18</v>
      </c>
      <c r="G67" s="240"/>
      <c r="H67" s="240"/>
      <c r="I67" s="240"/>
      <c r="K67" s="104"/>
    </row>
    <row r="68" spans="1:11" s="52" customFormat="1" ht="22.5" x14ac:dyDescent="0.2">
      <c r="A68" s="137" t="str">
        <f>'MM CALC'!A64</f>
        <v>5.2.10</v>
      </c>
      <c r="B68" s="137" t="str">
        <f>'MM CALC'!B64</f>
        <v>SEINFRA</v>
      </c>
      <c r="C68" s="180" t="str">
        <f>'MM CALC'!C64</f>
        <v>ED-51144</v>
      </c>
      <c r="D68" s="181" t="str">
        <f>'MM CALC'!D64</f>
        <v>PASSEIOS DE CONCRETO E = 8 CM, FCK = 15 MPA PADRÃO PREFEITURA</v>
      </c>
      <c r="E68" s="180" t="str">
        <f>'MM CALC'!E64</f>
        <v>m²</v>
      </c>
      <c r="F68" s="182">
        <f>'MM CALC'!F64</f>
        <v>82</v>
      </c>
      <c r="G68" s="240"/>
      <c r="H68" s="240"/>
      <c r="I68" s="240"/>
      <c r="K68" s="104"/>
    </row>
    <row r="69" spans="1:11" s="57" customFormat="1" ht="11.25" x14ac:dyDescent="0.2">
      <c r="A69" s="150" t="str">
        <f>'MM CALC'!A65</f>
        <v>5.3</v>
      </c>
      <c r="B69" s="150"/>
      <c r="C69" s="157"/>
      <c r="D69" s="152" t="str">
        <f>'MM CALC'!D65</f>
        <v>PINTURA</v>
      </c>
      <c r="E69" s="157"/>
      <c r="F69" s="158"/>
      <c r="G69" s="159"/>
      <c r="H69" s="159"/>
      <c r="I69" s="160"/>
      <c r="K69" s="103"/>
    </row>
    <row r="70" spans="1:11" s="57" customFormat="1" ht="33.75" x14ac:dyDescent="0.2">
      <c r="A70" s="137" t="str">
        <f>'MM CALC'!A66</f>
        <v>5.3.1</v>
      </c>
      <c r="B70" s="137" t="str">
        <f>'MM CALC'!B64</f>
        <v>SEINFRA</v>
      </c>
      <c r="C70" s="183" t="str">
        <f>'MM CALC'!C66</f>
        <v>ED-50514</v>
      </c>
      <c r="D70" s="196" t="str">
        <f>'MM CALC'!D66</f>
        <v>PREPARAÇÃO PARA EMASSAMENTO OU PINTURA (LÁTEX/ACRÍLICA) EM PAREDE, INCLUSIVE UMA (1) DEMÃO DE SELADOR ACRÍLICO</v>
      </c>
      <c r="E70" s="180" t="str">
        <f>'MM CALC'!E64</f>
        <v>m²</v>
      </c>
      <c r="F70" s="182">
        <f>'MM CALC'!F66</f>
        <v>377.11</v>
      </c>
      <c r="G70" s="240"/>
      <c r="H70" s="240"/>
      <c r="I70" s="240"/>
      <c r="K70" s="103"/>
    </row>
    <row r="71" spans="1:11" s="57" customFormat="1" ht="22.5" x14ac:dyDescent="0.2">
      <c r="A71" s="137" t="str">
        <f>'MM CALC'!A67</f>
        <v>5.3.2</v>
      </c>
      <c r="B71" s="137" t="str">
        <f>'MM CALC'!B67</f>
        <v>SEINFRA</v>
      </c>
      <c r="C71" s="183" t="str">
        <f>'MM CALC'!C67</f>
        <v>ED-50474</v>
      </c>
      <c r="D71" s="196" t="str">
        <f>'MM CALC'!D67</f>
        <v>EMASSAMENTO EM PAREDE COM MASSA ACRÍLICA, DUAS (2) DEMÃOS, INCLUSIVE LIXAMENTO PARA PINTURA</v>
      </c>
      <c r="E71" s="180" t="s">
        <v>31</v>
      </c>
      <c r="F71" s="182">
        <f>'MM CALC'!F67</f>
        <v>377.11</v>
      </c>
      <c r="G71" s="240"/>
      <c r="H71" s="240"/>
      <c r="I71" s="240"/>
      <c r="K71" s="103"/>
    </row>
    <row r="72" spans="1:11" s="57" customFormat="1" ht="33.75" x14ac:dyDescent="0.2">
      <c r="A72" s="137" t="str">
        <f>'MM CALC'!A68</f>
        <v>5.3.3</v>
      </c>
      <c r="B72" s="137" t="str">
        <f>'MM CALC'!B66</f>
        <v>SEINFRA</v>
      </c>
      <c r="C72" s="183" t="str">
        <f>'MM CALC'!C68</f>
        <v>ED-50515</v>
      </c>
      <c r="D72" s="196" t="str">
        <f>'MM CALC'!D68</f>
        <v>PREPARAÇÃO PARA EMASSAMENTO OU PINTURA (LÁTEX/ACRÍLICA) EM TETO, INCLUSIVE UMA (1) DEMÃO DE SELADOR ACRÍLICO</v>
      </c>
      <c r="E72" s="180" t="str">
        <f>'MM CALC'!E66</f>
        <v>m²</v>
      </c>
      <c r="F72" s="182">
        <f>'MM CALC'!F68</f>
        <v>84.95</v>
      </c>
      <c r="G72" s="240"/>
      <c r="H72" s="240"/>
      <c r="I72" s="240"/>
      <c r="K72" s="103"/>
    </row>
    <row r="73" spans="1:11" s="57" customFormat="1" ht="22.5" x14ac:dyDescent="0.2">
      <c r="A73" s="137" t="str">
        <f>'MM CALC'!A69</f>
        <v>5.3.4</v>
      </c>
      <c r="B73" s="137" t="str">
        <f>'MM CALC'!B67</f>
        <v>SEINFRA</v>
      </c>
      <c r="C73" s="183" t="str">
        <f>'MM CALC'!C69</f>
        <v>ED-50480</v>
      </c>
      <c r="D73" s="196" t="str">
        <f>'MM CALC'!D69</f>
        <v>EMASSAMENTO EM TETO COM MASSA CORRIDA (PVA), DUAS (2) DEMÃOS, INCLUSIVE LIXAMENTO PARA PINTURA</v>
      </c>
      <c r="E73" s="180" t="str">
        <f>'MM CALC'!E67</f>
        <v>m²</v>
      </c>
      <c r="F73" s="182">
        <f>'MM CALC'!F69</f>
        <v>84.95</v>
      </c>
      <c r="G73" s="240"/>
      <c r="H73" s="240"/>
      <c r="I73" s="240"/>
      <c r="K73" s="103"/>
    </row>
    <row r="74" spans="1:11" s="52" customFormat="1" ht="22.5" x14ac:dyDescent="0.2">
      <c r="A74" s="137" t="str">
        <f>'MM CALC'!A70</f>
        <v>5.3.5</v>
      </c>
      <c r="B74" s="137" t="str">
        <f>'MM CALC'!B68</f>
        <v>SEINFRA</v>
      </c>
      <c r="C74" s="183" t="str">
        <f>'MM CALC'!C70</f>
        <v>ED-50451</v>
      </c>
      <c r="D74" s="181" t="str">
        <f>'MM CALC'!D70</f>
        <v>PINTURA ACRÍLICA EM PAREDE, DUAS (2) DEMÃOS, EXCLUSIVE SELADOR ACRÍLICO E MASSA ACRÍLICA/CORRIDA (PVA)</v>
      </c>
      <c r="E74" s="180" t="str">
        <f>'MM CALC'!E70</f>
        <v>m²</v>
      </c>
      <c r="F74" s="182">
        <f>'MM CALC'!F70</f>
        <v>377.11</v>
      </c>
      <c r="G74" s="240"/>
      <c r="H74" s="240"/>
      <c r="I74" s="240"/>
      <c r="K74" s="104"/>
    </row>
    <row r="75" spans="1:11" s="52" customFormat="1" ht="22.5" x14ac:dyDescent="0.2">
      <c r="A75" s="137" t="str">
        <f>'MM CALC'!A71</f>
        <v>5.3.6</v>
      </c>
      <c r="B75" s="137" t="str">
        <f>'MM CALC'!B69</f>
        <v>SEINFRA</v>
      </c>
      <c r="C75" s="183" t="str">
        <f>'MM CALC'!C71</f>
        <v>ED-50452</v>
      </c>
      <c r="D75" s="181" t="str">
        <f>'MM CALC'!D71</f>
        <v>PINTURA ACRÍLICA EM TETO, DUAS (2) DEMÃOS, EXCLUSIVE SELADOR ACRÍLICO E MASSA ACRÍLICA/CORRIDA (PVA)</v>
      </c>
      <c r="E75" s="180" t="str">
        <f>'MM CALC'!E71</f>
        <v>m²</v>
      </c>
      <c r="F75" s="182">
        <f>'MM CALC'!F71</f>
        <v>84.95</v>
      </c>
      <c r="G75" s="240"/>
      <c r="H75" s="240"/>
      <c r="I75" s="240"/>
      <c r="K75" s="104"/>
    </row>
    <row r="76" spans="1:11" s="57" customFormat="1" ht="11.25" x14ac:dyDescent="0.2">
      <c r="A76" s="150" t="str">
        <f>'MM CALC'!A72</f>
        <v>5.4</v>
      </c>
      <c r="B76" s="150"/>
      <c r="C76" s="151"/>
      <c r="D76" s="152" t="str">
        <f>'MM CALC'!D72</f>
        <v>COBERTURA</v>
      </c>
      <c r="E76" s="151"/>
      <c r="F76" s="153"/>
      <c r="G76" s="154"/>
      <c r="H76" s="154"/>
      <c r="I76" s="154"/>
      <c r="K76" s="103"/>
    </row>
    <row r="77" spans="1:11" s="52" customFormat="1" ht="78.75" x14ac:dyDescent="0.2">
      <c r="A77" s="137" t="str">
        <f>'MM CALC'!A73</f>
        <v>5.4.1</v>
      </c>
      <c r="B77" s="137" t="str">
        <f>'MM CALC'!B73</f>
        <v>SEINFRA</v>
      </c>
      <c r="C77" s="180" t="str">
        <f>'MM CALC'!C73</f>
        <v>ED-20577</v>
      </c>
      <c r="D77" s="181" t="str">
        <f>'MM CALC'!D73</f>
        <v>FORNECIMENTO DE ESTRUTURA METÁLICA E ENGRADAMENTO METÁLICO PARA TELHADO DE QUADRA POLIESPORTIVA EM AÇO, COBERTURA PADRÃO DO GINÁSIO POLIESPORTIVO, EXCLUSIVE TELHA, INCLUSIVE PILAR METÁLICO, FABRICAÇÃO, TRANSPORTE, MONTAGEM, APLICAÇÃO DE FUNDO PREPARADOR ANTICORROSIVO, UMA (1) DEMÃO E PINTURA ESMALTE, DUAS (2) DEMÃOS</v>
      </c>
      <c r="E77" s="180" t="str">
        <f>'MM CALC'!E73</f>
        <v>m²</v>
      </c>
      <c r="F77" s="182">
        <f>'MM CALC'!F73</f>
        <v>161.88999999999999</v>
      </c>
      <c r="G77" s="240"/>
      <c r="H77" s="240"/>
      <c r="I77" s="240"/>
      <c r="K77" s="104"/>
    </row>
    <row r="78" spans="1:11" s="52" customFormat="1" ht="45" x14ac:dyDescent="0.2">
      <c r="A78" s="137" t="str">
        <f>'MM CALC'!A74</f>
        <v>5.4.2</v>
      </c>
      <c r="B78" s="137" t="str">
        <f>'MM CALC'!B74</f>
        <v>SEINFRA</v>
      </c>
      <c r="C78" s="180" t="str">
        <f>'MM CALC'!C74</f>
        <v>ED-13852</v>
      </c>
      <c r="D78" s="181" t="str">
        <f>'MM CALC'!D74</f>
        <v xml:space="preserve">COBERTURA EM TELHA METÁLICA GALVANIZADA ONDULADA,
TIPO SIMPLES, ESP. 0,50MM, ACABAMENTO NATURAL, INCLUSIVE
ACESSÓRIOS PARA FIXAÇÃO, FORNECIMENTO E INSTALAÇÃO 
</v>
      </c>
      <c r="E78" s="180" t="str">
        <f>'MM CALC'!E74</f>
        <v>m²</v>
      </c>
      <c r="F78" s="182">
        <f>'MM CALC'!F74</f>
        <v>161.88999999999999</v>
      </c>
      <c r="G78" s="240"/>
      <c r="H78" s="240"/>
      <c r="I78" s="240"/>
      <c r="K78" s="104"/>
    </row>
    <row r="79" spans="1:11" s="52" customFormat="1" ht="22.5" x14ac:dyDescent="0.2">
      <c r="A79" s="137" t="str">
        <f>'MM CALC'!A75</f>
        <v>5.4.3</v>
      </c>
      <c r="B79" s="137" t="str">
        <f>'MM CALC'!B75</f>
        <v>SEINFRA</v>
      </c>
      <c r="C79" s="180" t="str">
        <f>'MM CALC'!C75</f>
        <v>ED-50667</v>
      </c>
      <c r="D79" s="181" t="str">
        <f>'MM CALC'!D75</f>
        <v>CHAPIM METÁLICO, COM PINGADEIRA, CHAPA GALVANIZADA Nº24, DESENVOLVIMENTO = 35 CM</v>
      </c>
      <c r="E79" s="180" t="str">
        <f>'MM CALC'!E75</f>
        <v>m</v>
      </c>
      <c r="F79" s="182">
        <f>'MM CALC'!F75</f>
        <v>44.05</v>
      </c>
      <c r="G79" s="240"/>
      <c r="H79" s="240"/>
      <c r="I79" s="240"/>
      <c r="K79" s="104"/>
    </row>
    <row r="80" spans="1:11" s="52" customFormat="1" ht="22.5" x14ac:dyDescent="0.2">
      <c r="A80" s="137" t="str">
        <f>'MM CALC'!A76</f>
        <v>5.4.4</v>
      </c>
      <c r="B80" s="137" t="str">
        <f>'MM CALC'!B76</f>
        <v>SEINFRA</v>
      </c>
      <c r="C80" s="180" t="str">
        <f>'MM CALC'!C76</f>
        <v>ED-50678</v>
      </c>
      <c r="D80" s="181" t="str">
        <f>'MM CALC'!D76</f>
        <v>RUFO E CONTRA-RUFO DE CHAPA GALVANIZADA Nº.24, DESENVOLVIMENTO = 33 CM</v>
      </c>
      <c r="E80" s="180" t="str">
        <f>'MM CALC'!E76</f>
        <v>m</v>
      </c>
      <c r="F80" s="182">
        <f>'MM CALC'!F76</f>
        <v>41.900000000000006</v>
      </c>
      <c r="G80" s="240"/>
      <c r="H80" s="240"/>
      <c r="I80" s="240"/>
      <c r="K80" s="104"/>
    </row>
    <row r="81" spans="1:11" s="52" customFormat="1" ht="22.5" x14ac:dyDescent="0.2">
      <c r="A81" s="137" t="str">
        <f>'MM CALC'!A77</f>
        <v>5.4.5</v>
      </c>
      <c r="B81" s="137" t="str">
        <f>'MM CALC'!B77</f>
        <v>SEINFRA</v>
      </c>
      <c r="C81" s="180" t="str">
        <f>'MM CALC'!C77</f>
        <v>ED-50648</v>
      </c>
      <c r="D81" s="181" t="str">
        <f>'MM CALC'!D77</f>
        <v>CALHA DE CHAPA GALVANIZADA Nº.22 GSG,DESENVOLVIMENTO= 33 CM</v>
      </c>
      <c r="E81" s="180" t="str">
        <f>'MM CALC'!E77</f>
        <v>m</v>
      </c>
      <c r="F81" s="182">
        <f>'MM CALC'!F77</f>
        <v>9.9</v>
      </c>
      <c r="G81" s="240"/>
      <c r="H81" s="240"/>
      <c r="I81" s="240"/>
      <c r="K81" s="104"/>
    </row>
    <row r="82" spans="1:11" s="52" customFormat="1" ht="11.25" x14ac:dyDescent="0.2">
      <c r="A82" s="137" t="str">
        <f>'MM CALC'!A78</f>
        <v>5.4.6</v>
      </c>
      <c r="B82" s="137" t="str">
        <f>'MM CALC'!B78</f>
        <v>SEINFRA</v>
      </c>
      <c r="C82" s="180" t="str">
        <f>'MM CALC'!C78</f>
        <v>ED-49962</v>
      </c>
      <c r="D82" s="181" t="str">
        <f>'MM CALC'!D78</f>
        <v>RALO SEMI- HEMISFÉRICO TIPO ABACAXI D = 100 MM</v>
      </c>
      <c r="E82" s="180" t="str">
        <f>'MM CALC'!E78</f>
        <v>u</v>
      </c>
      <c r="F82" s="182">
        <f>'MM CALC'!F78</f>
        <v>2</v>
      </c>
      <c r="G82" s="240"/>
      <c r="H82" s="240"/>
      <c r="I82" s="240"/>
      <c r="K82" s="104"/>
    </row>
    <row r="83" spans="1:11" s="52" customFormat="1" ht="22.5" x14ac:dyDescent="0.2">
      <c r="A83" s="137" t="str">
        <f>'MM CALC'!A79</f>
        <v>5.4.7</v>
      </c>
      <c r="B83" s="137" t="str">
        <f>'MM CALC'!B79</f>
        <v>SEINFRA</v>
      </c>
      <c r="C83" s="180" t="str">
        <f>'MM CALC'!C79</f>
        <v>ED-50668</v>
      </c>
      <c r="D83" s="181" t="str">
        <f>'MM CALC'!D79</f>
        <v>CONDUTOR DE AP DO TELHADO EM TUBO PVC ESGOTO, INCLUSIVE CONEXÕES E SUPORTES, 100 MM</v>
      </c>
      <c r="E83" s="180" t="str">
        <f>'MM CALC'!E79</f>
        <v>m</v>
      </c>
      <c r="F83" s="182">
        <f>'MM CALC'!F79</f>
        <v>8</v>
      </c>
      <c r="G83" s="240"/>
      <c r="H83" s="240"/>
      <c r="I83" s="240"/>
      <c r="K83" s="104"/>
    </row>
    <row r="84" spans="1:11" s="57" customFormat="1" ht="11.25" x14ac:dyDescent="0.2">
      <c r="A84" s="150" t="str">
        <f>'MM CALC'!A80</f>
        <v>5.5</v>
      </c>
      <c r="B84" s="150"/>
      <c r="C84" s="151"/>
      <c r="D84" s="152" t="str">
        <f>'MM CALC'!D80</f>
        <v>SOLEIRAS E PEITORIS</v>
      </c>
      <c r="E84" s="151"/>
      <c r="F84" s="153"/>
      <c r="G84" s="154"/>
      <c r="H84" s="156"/>
      <c r="I84" s="154"/>
      <c r="K84" s="103"/>
    </row>
    <row r="85" spans="1:11" s="52" customFormat="1" ht="33.75" x14ac:dyDescent="0.2">
      <c r="A85" s="137" t="str">
        <f>'MM CALC'!A81</f>
        <v>5.5.1</v>
      </c>
      <c r="B85" s="137" t="str">
        <f>'MM CALC'!B81</f>
        <v>SEINFRA</v>
      </c>
      <c r="C85" s="180" t="str">
        <f>'MM CALC'!C81</f>
        <v>ED-51003</v>
      </c>
      <c r="D85" s="181" t="str">
        <f>'MM CALC'!D81</f>
        <v>SOLEIRA DE GRANITO, NA COR CINZA ANDORINHA, ESP. 3CM, ACABAMENTO POLIDO, ASSENTAMENTO COM ARGAMASSA INDUSTRIALIZADA, INCLUSIVE REJUNTAMENTO</v>
      </c>
      <c r="E85" s="180" t="str">
        <f>'MM CALC'!E81</f>
        <v>m²</v>
      </c>
      <c r="F85" s="182">
        <f>'MM CALC'!F81</f>
        <v>1.08</v>
      </c>
      <c r="G85" s="240"/>
      <c r="H85" s="240"/>
      <c r="I85" s="240"/>
      <c r="K85" s="104"/>
    </row>
    <row r="86" spans="1:11" s="52" customFormat="1" ht="45" x14ac:dyDescent="0.2">
      <c r="A86" s="137" t="str">
        <f>'MM CALC'!A82</f>
        <v>5.5.2</v>
      </c>
      <c r="B86" s="137" t="str">
        <f>'MM CALC'!B82</f>
        <v>SEINFRA</v>
      </c>
      <c r="C86" s="180" t="str">
        <f>'MM CALC'!C82</f>
        <v>ED-50998</v>
      </c>
      <c r="D86" s="181" t="str">
        <f>'MM CALC'!D82</f>
        <v>PEITORIL DE GRANITO, NA COR CINZA ANDORINHA, COM PINGADEIRA, ESP. 3CM, ACABAMENTO POLIDO, ASSENTAMENTO COM ARGAMASSA INDUSTRIALIZADA, INCLUSIVE REJUNTAMENTO</v>
      </c>
      <c r="E86" s="180" t="str">
        <f>'MM CALC'!E82</f>
        <v>m²</v>
      </c>
      <c r="F86" s="182">
        <f>'MM CALC'!F82</f>
        <v>1.4430000000000001</v>
      </c>
      <c r="G86" s="240"/>
      <c r="H86" s="240"/>
      <c r="I86" s="240"/>
      <c r="K86" s="104"/>
    </row>
    <row r="87" spans="1:11" s="57" customFormat="1" ht="11.25" x14ac:dyDescent="0.2">
      <c r="A87" s="150" t="str">
        <f>'MM CALC'!A83</f>
        <v>5.6</v>
      </c>
      <c r="B87" s="150"/>
      <c r="C87" s="151"/>
      <c r="D87" s="152" t="str">
        <f>'MM CALC'!D83</f>
        <v>ESQUADRIAS E ACESSÓRIOS</v>
      </c>
      <c r="E87" s="151"/>
      <c r="F87" s="153"/>
      <c r="G87" s="154"/>
      <c r="H87" s="155"/>
      <c r="I87" s="155"/>
      <c r="K87" s="103"/>
    </row>
    <row r="88" spans="1:11" s="52" customFormat="1" ht="33.75" customHeight="1" x14ac:dyDescent="0.2">
      <c r="A88" s="137" t="str">
        <f>'MM CALC'!A84</f>
        <v>5.6.1</v>
      </c>
      <c r="B88" s="137" t="str">
        <f>'MM CALC'!B84</f>
        <v>SEINFRA</v>
      </c>
      <c r="C88" s="180" t="str">
        <f>'MM CALC'!C84</f>
        <v>ED-49602</v>
      </c>
      <c r="D88" s="181" t="str">
        <f>'MM CALC'!D84</f>
        <v>PORTA DE ABRIR, MADEIRA DE LEI PRANCHETA PARA PINTURA COMPLETA 80 X 210 CM, COM FERRAGENS EM FERRO LATONADO</v>
      </c>
      <c r="E88" s="180" t="str">
        <f>'MM CALC'!E84</f>
        <v>u</v>
      </c>
      <c r="F88" s="182">
        <f>'MM CALC'!F84</f>
        <v>9</v>
      </c>
      <c r="G88" s="240"/>
      <c r="H88" s="240"/>
      <c r="I88" s="240"/>
      <c r="K88" s="104"/>
    </row>
    <row r="89" spans="1:11" s="52" customFormat="1" ht="33.75" x14ac:dyDescent="0.2">
      <c r="A89" s="137" t="str">
        <f>'MM CALC'!A85</f>
        <v>5.6.2</v>
      </c>
      <c r="B89" s="137" t="str">
        <f>'MM CALC'!B85</f>
        <v>SEINFRA</v>
      </c>
      <c r="C89" s="180" t="str">
        <f>'MM CALC'!C85</f>
        <v>ED-50493</v>
      </c>
      <c r="D89" s="181" t="str">
        <f>'MM CALC'!D85</f>
        <v>PINTURA ESMALTE EM ESQUADRIA DE MADEIRA, DUAS (2) DEMÃOS, INCLUSIVE UMA (1) DEMÃO DE FUNDO NIVELADOR, EXCLUSIVE MASSA A ÓLEO</v>
      </c>
      <c r="E89" s="180" t="str">
        <f>'MM CALC'!E85</f>
        <v>m²</v>
      </c>
      <c r="F89" s="182">
        <f>'MM CALC'!F85</f>
        <v>30.240000000000002</v>
      </c>
      <c r="G89" s="240"/>
      <c r="H89" s="240"/>
      <c r="I89" s="240"/>
      <c r="K89" s="104"/>
    </row>
    <row r="90" spans="1:11" s="52" customFormat="1" ht="56.25" x14ac:dyDescent="0.2">
      <c r="A90" s="137" t="str">
        <f>'MM CALC'!A86</f>
        <v>5.6.3</v>
      </c>
      <c r="B90" s="137" t="str">
        <f>'MM CALC'!B86</f>
        <v>SEINFRA</v>
      </c>
      <c r="C90" s="180" t="str">
        <f>'MM CALC'!C86</f>
        <v>ED-29484</v>
      </c>
      <c r="D90" s="181" t="str">
        <f>'MM CALC'!D86</f>
        <v xml:space="preserve">JANELA EM ALUMÍNIO DE CORRER COM 2 FOLHAS, LINHA 25/
SUPREMA, ACABAMENTO ANODIZADO NATURAL, INCLUSIVE
PERFIS, VIDRO 4MM E INSTALAÇÃO, EXCLUSIVE FERRAGENS
PARA JANELA DE ALUMÍNIO DE CORRER
</v>
      </c>
      <c r="E90" s="180" t="str">
        <f>'MM CALC'!E86</f>
        <v>m²</v>
      </c>
      <c r="F90" s="182">
        <f>'MM CALC'!F86</f>
        <v>6</v>
      </c>
      <c r="G90" s="240"/>
      <c r="H90" s="240"/>
      <c r="I90" s="240"/>
      <c r="K90" s="104"/>
    </row>
    <row r="91" spans="1:11" s="52" customFormat="1" ht="56.25" x14ac:dyDescent="0.2">
      <c r="A91" s="137" t="str">
        <f>'MM CALC'!A87</f>
        <v>5.6.4</v>
      </c>
      <c r="B91" s="137" t="str">
        <f>'MM CALC'!B87</f>
        <v>SEINFRA</v>
      </c>
      <c r="C91" s="180" t="str">
        <f>'MM CALC'!C87</f>
        <v xml:space="preserve">ED-29481 </v>
      </c>
      <c r="D91" s="181" t="str">
        <f>'MM CALC'!D87</f>
        <v>JANELA EM ALUMÍNIO MÁXIM-AR COM ALTURA DE 60CM, LINHA 25/
SUPREMA, ACABAMENTO ANODIZADO NATURAL, INCLUSIVE
PERFIS, VIDRO LISO 4MM E INSTALAÇÃO, EXCLUSIVE FERRAGENS
 PARA MÓDULO DE JANELA DE ALUMÍNIO MÁXIM-AR</v>
      </c>
      <c r="E91" s="180" t="str">
        <f>'MM CALC'!E87</f>
        <v>m²</v>
      </c>
      <c r="F91" s="182">
        <f>'MM CALC'!F87</f>
        <v>1.7999999999999998</v>
      </c>
      <c r="G91" s="240"/>
      <c r="H91" s="240"/>
      <c r="I91" s="240"/>
      <c r="K91" s="104"/>
    </row>
    <row r="92" spans="1:11" s="52" customFormat="1" ht="22.5" x14ac:dyDescent="0.2">
      <c r="A92" s="137" t="str">
        <f>'MM CALC'!A88</f>
        <v>5.6.5</v>
      </c>
      <c r="B92" s="137" t="str">
        <f>'MM CALC'!B88</f>
        <v>SEINFRA</v>
      </c>
      <c r="C92" s="180" t="str">
        <f>'MM CALC'!C88</f>
        <v>ED-48343</v>
      </c>
      <c r="D92" s="181" t="str">
        <f>'MM CALC'!D88</f>
        <v>BANCADA EM GRANITO CINZA ANDORINHA E = 3 CM, APOIADA EM CONSOLE DE METALON 20 X 30 MM</v>
      </c>
      <c r="E92" s="180" t="str">
        <f>'MM CALC'!E88</f>
        <v>m²</v>
      </c>
      <c r="F92" s="182">
        <f>'MM CALC'!F88</f>
        <v>2.0020000000000002</v>
      </c>
      <c r="G92" s="240"/>
      <c r="H92" s="240"/>
      <c r="I92" s="240"/>
      <c r="K92" s="104"/>
    </row>
    <row r="93" spans="1:11" s="52" customFormat="1" ht="11.25" x14ac:dyDescent="0.2">
      <c r="A93" s="137" t="str">
        <f>'MM CALC'!A89</f>
        <v>5.6.6</v>
      </c>
      <c r="B93" s="137" t="str">
        <f>'MM CALC'!B89</f>
        <v>SEINFRA</v>
      </c>
      <c r="C93" s="180" t="str">
        <f>'MM CALC'!C89</f>
        <v>ED-48182</v>
      </c>
      <c r="D93" s="181" t="str">
        <f>'MM CALC'!D89</f>
        <v>DISPENSER EM PLÁSTICO PARA PAPEL TOALHA 2 OU 3 FOLHAS</v>
      </c>
      <c r="E93" s="180" t="str">
        <f>'MM CALC'!E89</f>
        <v>u</v>
      </c>
      <c r="F93" s="182">
        <f>'MM CALC'!F89</f>
        <v>5</v>
      </c>
      <c r="G93" s="240"/>
      <c r="H93" s="240"/>
      <c r="I93" s="240"/>
      <c r="K93" s="104"/>
    </row>
    <row r="94" spans="1:11" s="52" customFormat="1" ht="22.5" x14ac:dyDescent="0.2">
      <c r="A94" s="137" t="str">
        <f>'MM CALC'!A90</f>
        <v>5.6.7</v>
      </c>
      <c r="B94" s="137" t="str">
        <f>'MM CALC'!B90</f>
        <v>SEINFRA</v>
      </c>
      <c r="C94" s="180" t="str">
        <f>'MM CALC'!C90</f>
        <v>ED-48183</v>
      </c>
      <c r="D94" s="181" t="str">
        <f>'MM CALC'!D90</f>
        <v>PAPELEIRA PLASTICA TIPO DISPENSER PARA PAPEL HIGIENICO ROLAO</v>
      </c>
      <c r="E94" s="180" t="str">
        <f>'MM CALC'!E90</f>
        <v>u</v>
      </c>
      <c r="F94" s="182">
        <f>'MM CALC'!F90</f>
        <v>2</v>
      </c>
      <c r="G94" s="240"/>
      <c r="H94" s="240"/>
      <c r="I94" s="240"/>
      <c r="K94" s="104"/>
    </row>
    <row r="95" spans="1:11" s="52" customFormat="1" ht="90" x14ac:dyDescent="0.2">
      <c r="A95" s="137" t="str">
        <f>'MM CALC'!A91</f>
        <v>5.6.8</v>
      </c>
      <c r="B95" s="137" t="str">
        <f>'MM CALC'!B91</f>
        <v>SEINFRA</v>
      </c>
      <c r="C95" s="180" t="str">
        <f>'MM CALC'!C91</f>
        <v>ED-50282</v>
      </c>
      <c r="D95" s="181" t="str">
        <f>'MM CALC'!D91</f>
        <v>LAVATÓRIO DE LOUÇA BRANCA COM COLUNA, TAMANHO MÉDIO,
INCLUSIVE ACESSÓRIOS DE FIXAÇÃO, VÁLVULA DE ESCOAMENTO
DE METAL COM ACABAMENTO CROMADO, SIFÃO DE METAL TIPO
COPO COM ACABAMENTO CROMADO, FORNECIMENTO,
INSTALAÇÃO E REJUNTAMENTO, EXCLUSIVE TORNEIRA E
ENGATE FLEXÍVEL</v>
      </c>
      <c r="E95" s="180" t="str">
        <f>'MM CALC'!E91</f>
        <v>u</v>
      </c>
      <c r="F95" s="182">
        <f>'MM CALC'!F91</f>
        <v>2</v>
      </c>
      <c r="G95" s="240"/>
      <c r="H95" s="240"/>
      <c r="I95" s="240"/>
      <c r="K95" s="104"/>
    </row>
    <row r="96" spans="1:11" s="52" customFormat="1" ht="22.5" x14ac:dyDescent="0.2">
      <c r="A96" s="137" t="str">
        <f>'MM CALC'!A92</f>
        <v>5.6.9</v>
      </c>
      <c r="B96" s="137" t="str">
        <f>'MM CALC'!B92</f>
        <v>SEINFRA</v>
      </c>
      <c r="C96" s="180" t="str">
        <f>'MM CALC'!C92</f>
        <v>ED-48189</v>
      </c>
      <c r="D96" s="181" t="str">
        <f>'MM CALC'!D92</f>
        <v>SABONETEIRA PLASTICA TIPO DISPENSER PARA SABONETE LIQUIDO COM RESERVATORIO 1500 ML</v>
      </c>
      <c r="E96" s="180" t="str">
        <f>'MM CALC'!E92</f>
        <v>u</v>
      </c>
      <c r="F96" s="182">
        <f>'MM CALC'!F92</f>
        <v>5</v>
      </c>
      <c r="G96" s="240"/>
      <c r="H96" s="240"/>
      <c r="I96" s="240"/>
      <c r="K96" s="104"/>
    </row>
    <row r="97" spans="1:11" s="52" customFormat="1" ht="56.25" x14ac:dyDescent="0.2">
      <c r="A97" s="137" t="str">
        <f>'MM CALC'!A93</f>
        <v>5.6.10</v>
      </c>
      <c r="B97" s="137" t="str">
        <f>'MM CALC'!B93</f>
        <v>SEINFRA</v>
      </c>
      <c r="C97" s="180" t="str">
        <f>'MM CALC'!C93</f>
        <v>ED-50278</v>
      </c>
      <c r="D97" s="181" t="str">
        <f>'MM CALC'!D93</f>
        <v>CUBA EM AÇO INOXIDÁVEL DE EMBUTIR, AISI 304, APLICAÇÃO PARA PIA (560X330X115MM), NÚMERO 2, ASSENTAMENTO EM BANCADA, INCLUSIVE VÁLVULA DE ESCOAMENTO DE METAL COM ACABAMENTO CROMADO, SIFÃO DE METAL TIPO COPO COM ACABAMENTO CROMADO, FORNECIMENTO E INSTALAÇÃO</v>
      </c>
      <c r="E97" s="180" t="str">
        <f>'MM CALC'!E93</f>
        <v>u</v>
      </c>
      <c r="F97" s="182">
        <f>'MM CALC'!F93</f>
        <v>3</v>
      </c>
      <c r="G97" s="240"/>
      <c r="H97" s="240"/>
      <c r="I97" s="240"/>
      <c r="K97" s="104"/>
    </row>
    <row r="98" spans="1:11" s="52" customFormat="1" ht="33.75" x14ac:dyDescent="0.2">
      <c r="A98" s="137" t="str">
        <f>'MM CALC'!A94</f>
        <v>5.6.11</v>
      </c>
      <c r="B98" s="137" t="str">
        <f>'MM CALC'!B94</f>
        <v>SEINFRA</v>
      </c>
      <c r="C98" s="180" t="str">
        <f>'MM CALC'!C94</f>
        <v>ED-50330</v>
      </c>
      <c r="D98" s="181" t="str">
        <f>'MM CALC'!D94</f>
        <v>TORNEIRA METÁLICA PARA LAVATÓRIO, ACABAMENTO CROMADO, COM AREJADOR, APLICAÇÃO DE MESA, INCLUSIVE ENGATE FLEXÍVEL METÁLICO, FORNECIMENTO E INSTALAÇÃO</v>
      </c>
      <c r="E98" s="180" t="str">
        <f>'MM CALC'!E94</f>
        <v>u</v>
      </c>
      <c r="F98" s="182">
        <f>'MM CALC'!F94</f>
        <v>2</v>
      </c>
      <c r="G98" s="240"/>
      <c r="H98" s="240"/>
      <c r="I98" s="240"/>
      <c r="K98" s="104"/>
    </row>
    <row r="99" spans="1:11" s="52" customFormat="1" ht="33.75" x14ac:dyDescent="0.2">
      <c r="A99" s="137" t="str">
        <f>'MM CALC'!A95</f>
        <v>5.6.12</v>
      </c>
      <c r="B99" s="137" t="str">
        <f>'MM CALC'!B95</f>
        <v>SEINFRA</v>
      </c>
      <c r="C99" s="180" t="str">
        <f>'MM CALC'!C95</f>
        <v>ED-50326</v>
      </c>
      <c r="D99" s="181" t="str">
        <f>'MM CALC'!D95</f>
        <v>TORNEIRA METÁLICA PARA PIA, ACABAMENTO CROMADO, COM AREJADOR, APLICAÇÃO DE PAREDE, INCLUSIVE FORNECIMENTO E INSTALAÇÃO</v>
      </c>
      <c r="E99" s="180" t="str">
        <f>'MM CALC'!E95</f>
        <v>u</v>
      </c>
      <c r="F99" s="182">
        <f>'MM CALC'!F95</f>
        <v>3</v>
      </c>
      <c r="G99" s="240"/>
      <c r="H99" s="240"/>
      <c r="I99" s="240"/>
      <c r="K99" s="104"/>
    </row>
    <row r="100" spans="1:11" s="52" customFormat="1" ht="33.75" x14ac:dyDescent="0.2">
      <c r="A100" s="137" t="str">
        <f>'MM CALC'!A96</f>
        <v>5.6.13</v>
      </c>
      <c r="B100" s="137" t="str">
        <f>'MM CALC'!B96</f>
        <v>SEINFRA</v>
      </c>
      <c r="C100" s="180" t="str">
        <f>'MM CALC'!C96</f>
        <v>ED-50331</v>
      </c>
      <c r="D100" s="181" t="str">
        <f>'MM CALC'!D96</f>
        <v>TORNEIRA METÁLICA PARA TANQUE, ACABAMENTO CROMADO, INCLUSIVE ENGATE FLEXÍVEL METÁLICO, FORNECIMENTO E INSTALAÇÃO</v>
      </c>
      <c r="E100" s="180" t="str">
        <f>'MM CALC'!E96</f>
        <v>u</v>
      </c>
      <c r="F100" s="182">
        <f>'MM CALC'!F96</f>
        <v>1</v>
      </c>
      <c r="G100" s="240"/>
      <c r="H100" s="240"/>
      <c r="I100" s="240"/>
      <c r="K100" s="104"/>
    </row>
    <row r="101" spans="1:11" s="52" customFormat="1" ht="45" x14ac:dyDescent="0.2">
      <c r="A101" s="137" t="str">
        <f>'MM CALC'!A97</f>
        <v>5.6.14</v>
      </c>
      <c r="B101" s="137" t="str">
        <f>'MM CALC'!B97</f>
        <v>SEINFRA</v>
      </c>
      <c r="C101" s="180" t="str">
        <f>'MM CALC'!C97</f>
        <v>ED-50289</v>
      </c>
      <c r="D101" s="181" t="str">
        <f>'MM CALC'!D97</f>
        <v>TANQUE DE LOUÇA BRANCA COM COLUNA, CAPACIDADE 22 LITROS, INCLUSIVE ACESSÓRIOS DE FIXAÇÃO, FORNECIMENTO, INSTALAÇÃO E REJUNTAMENTO, EXCLUSIVE TORNEIRA, VÁLVULA DE ESCOAMENTO E SIFÃO</v>
      </c>
      <c r="E101" s="180" t="str">
        <f>'MM CALC'!E97</f>
        <v>u</v>
      </c>
      <c r="F101" s="182">
        <f>'MM CALC'!F97</f>
        <v>1</v>
      </c>
      <c r="G101" s="240"/>
      <c r="H101" s="240"/>
      <c r="I101" s="240"/>
      <c r="K101" s="104"/>
    </row>
    <row r="102" spans="1:11" s="52" customFormat="1" ht="11.25" x14ac:dyDescent="0.2">
      <c r="A102" s="137" t="str">
        <f>'MM CALC'!A98</f>
        <v>5.6.15</v>
      </c>
      <c r="B102" s="137" t="str">
        <f>'MM CALC'!B98</f>
        <v>SEINFRA</v>
      </c>
      <c r="C102" s="180" t="str">
        <f>'MM CALC'!C98</f>
        <v xml:space="preserve">ED-48177 </v>
      </c>
      <c r="D102" s="181" t="str">
        <f>'MM CALC'!D98</f>
        <v>FILTRO AP-200 CURTO</v>
      </c>
      <c r="E102" s="180" t="str">
        <f>'MM CALC'!E98</f>
        <v>u</v>
      </c>
      <c r="F102" s="182">
        <f>'MM CALC'!F98</f>
        <v>1</v>
      </c>
      <c r="G102" s="240"/>
      <c r="H102" s="240"/>
      <c r="I102" s="240"/>
      <c r="K102" s="104"/>
    </row>
    <row r="103" spans="1:11" s="53" customFormat="1" ht="45" x14ac:dyDescent="0.2">
      <c r="A103" s="137" t="str">
        <f>'MM CALC'!A99</f>
        <v>5.6.16</v>
      </c>
      <c r="B103" s="137" t="str">
        <f>'MM CALC'!B99</f>
        <v>SEINFRA</v>
      </c>
      <c r="C103" s="180" t="str">
        <f>'MM CALC'!C99</f>
        <v>ED-50297</v>
      </c>
      <c r="D103" s="181" t="str">
        <f>'MM CALC'!D99</f>
        <v>BACIA SANITÁRIA (VASO) DE LOUÇA COM CAIXA ACOPLADA, COR BRANCA, INCLUSIVE ACESSÓRIOS DE FIXAÇÃO/VEDAÇÃO, ENGATE FLEXÍVEL METÁLICO, FORNECIMENTO, INSTALAÇÃO E REJUNTAMENTO</v>
      </c>
      <c r="E103" s="180" t="str">
        <f>'MM CALC'!E99</f>
        <v>u</v>
      </c>
      <c r="F103" s="182">
        <f>'MM CALC'!F99</f>
        <v>2</v>
      </c>
      <c r="G103" s="241"/>
      <c r="H103" s="240"/>
      <c r="I103" s="240"/>
      <c r="K103" s="106"/>
    </row>
    <row r="104" spans="1:11" s="52" customFormat="1" ht="22.5" x14ac:dyDescent="0.2">
      <c r="A104" s="137" t="str">
        <f>'MM CALC'!A100</f>
        <v>5.6.17</v>
      </c>
      <c r="B104" s="137" t="str">
        <f>'MM CALC'!B100</f>
        <v>SEINFRA</v>
      </c>
      <c r="C104" s="180" t="str">
        <f>'MM CALC'!C100</f>
        <v>ED-51152</v>
      </c>
      <c r="D104" s="181" t="str">
        <f>'MM CALC'!D100</f>
        <v>ESPELHO (40X60CM) ESP.4MM INCLUSIVE FIXAÇÃO COM PARAFUSO FINESSON - FORNECIMENTO E INSTALAÇÃO</v>
      </c>
      <c r="E104" s="180" t="str">
        <f>'MM CALC'!E100</f>
        <v>u</v>
      </c>
      <c r="F104" s="182">
        <f>'MM CALC'!F100</f>
        <v>2</v>
      </c>
      <c r="G104" s="240"/>
      <c r="H104" s="240"/>
      <c r="I104" s="240"/>
      <c r="K104" s="104"/>
    </row>
    <row r="105" spans="1:11" s="52" customFormat="1" ht="33.75" x14ac:dyDescent="0.2">
      <c r="A105" s="137" t="str">
        <f>'MM CALC'!A101</f>
        <v>5.6.18</v>
      </c>
      <c r="B105" s="137" t="str">
        <f>'MM CALC'!B101</f>
        <v>SEINFRA</v>
      </c>
      <c r="C105" s="180" t="str">
        <f>'MM CALC'!C101</f>
        <v>ED-16344</v>
      </c>
      <c r="D105" s="181" t="str">
        <f>'MM CALC'!D101</f>
        <v>CHUVEIRO ELÉTRICO BRANCO, TENSÃO 127V/220V, POTÊNCIA 4600W/5500W, INCLUSIVE BRAÇO, FORNECIMENTO E INSTALAÇÃO</v>
      </c>
      <c r="E105" s="180" t="str">
        <f>'MM CALC'!E101</f>
        <v>u</v>
      </c>
      <c r="F105" s="182">
        <f>'MM CALC'!F101</f>
        <v>2</v>
      </c>
      <c r="G105" s="239"/>
      <c r="H105" s="240"/>
      <c r="I105" s="240"/>
      <c r="K105" s="104"/>
    </row>
    <row r="106" spans="1:11" s="52" customFormat="1" ht="22.5" x14ac:dyDescent="0.2">
      <c r="A106" s="137" t="str">
        <f>'MM CALC'!A102</f>
        <v>5.6.19</v>
      </c>
      <c r="B106" s="137" t="str">
        <f>'MM CALC'!B102</f>
        <v>SEINFRA</v>
      </c>
      <c r="C106" s="180" t="s">
        <v>502</v>
      </c>
      <c r="D106" s="181" t="s">
        <v>503</v>
      </c>
      <c r="E106" s="180" t="str">
        <f>'MM CALC'!E102</f>
        <v>m²</v>
      </c>
      <c r="F106" s="182">
        <f>'MM CALC'!F102</f>
        <v>30</v>
      </c>
      <c r="G106" s="241"/>
      <c r="H106" s="240"/>
      <c r="I106" s="240"/>
      <c r="K106" s="104"/>
    </row>
    <row r="107" spans="1:11" s="57" customFormat="1" ht="11.25" x14ac:dyDescent="0.2">
      <c r="A107" s="138">
        <f>'MM CALC'!A103</f>
        <v>6</v>
      </c>
      <c r="B107" s="138"/>
      <c r="C107" s="139"/>
      <c r="D107" s="140" t="str">
        <f>'MM CALC'!D103</f>
        <v>INSTALAÇÕES ELÉTRICAS</v>
      </c>
      <c r="E107" s="139"/>
      <c r="F107" s="141"/>
      <c r="G107" s="142"/>
      <c r="H107" s="142"/>
      <c r="I107" s="242"/>
      <c r="K107" s="103"/>
    </row>
    <row r="108" spans="1:11" s="52" customFormat="1" ht="44.25" customHeight="1" x14ac:dyDescent="0.2">
      <c r="A108" s="137" t="str">
        <f>'MM CALC'!A104</f>
        <v>6.1</v>
      </c>
      <c r="B108" s="137" t="str">
        <f>'MM CALC'!B104</f>
        <v>SEINFRA</v>
      </c>
      <c r="C108" s="180" t="str">
        <f>'MM CALC'!C104</f>
        <v>ED-13345</v>
      </c>
      <c r="D108" s="181" t="str">
        <f>'MM CALC'!D104</f>
        <v>LUMINÁRIA ARANDELA TIPO MEIA-LUA COMPLETA, DIÂMETRO 25 CM, PARA UMA (1) LÂMPADA LED, POTÊNCIA 15W, BULBO A65, FORNECIMENTO E INSTALAÇÃO, INCLUSIVE BASE E LÂMPADA</v>
      </c>
      <c r="E108" s="180" t="str">
        <f>'MM CALC'!E104</f>
        <v>u</v>
      </c>
      <c r="F108" s="182">
        <f>'MM CALC'!F104</f>
        <v>18</v>
      </c>
      <c r="G108" s="240"/>
      <c r="H108" s="240"/>
      <c r="I108" s="240"/>
      <c r="K108" s="104"/>
    </row>
    <row r="109" spans="1:11" s="52" customFormat="1" ht="45" x14ac:dyDescent="0.2">
      <c r="A109" s="137" t="str">
        <f>'MM CALC'!A105</f>
        <v>6.2</v>
      </c>
      <c r="B109" s="137" t="str">
        <f>'MM CALC'!B105</f>
        <v>SEINFRA</v>
      </c>
      <c r="C109" s="180" t="str">
        <f>'MM CALC'!C105</f>
        <v>ED-13357</v>
      </c>
      <c r="D109" s="181" t="str">
        <f>'MM CALC'!D105</f>
        <v>LUMINÁRIA PLAFON REDONDO DE VIDRO JATEADO REDONDO COMPLETA, DIÂMETRO 25 CM, PARA UMA (1) LÂMPADA LED, POTÊNCIA 15W, BULBO A65, FORNECIMENTO E INSTALAÇÃO, INCLUSIVE BASE E LÂMPADA</v>
      </c>
      <c r="E109" s="180" t="str">
        <f>'MM CALC'!E105</f>
        <v>u</v>
      </c>
      <c r="F109" s="182">
        <f>'MM CALC'!F105</f>
        <v>12</v>
      </c>
      <c r="G109" s="240"/>
      <c r="H109" s="240"/>
      <c r="I109" s="240"/>
      <c r="K109" s="104"/>
    </row>
    <row r="110" spans="1:11" s="52" customFormat="1" ht="45" x14ac:dyDescent="0.2">
      <c r="A110" s="137" t="str">
        <f>'MM CALC'!A106</f>
        <v>6.3</v>
      </c>
      <c r="B110" s="137" t="str">
        <f>'MM CALC'!B106</f>
        <v>SEINFRA</v>
      </c>
      <c r="C110" s="180" t="str">
        <f>'MM CALC'!C106</f>
        <v>ED-15735</v>
      </c>
      <c r="D110" s="181" t="str">
        <f>'MM CALC'!D106</f>
        <v>CONJUNTO DE UM (1) INTERRUPTOR BIPOLAR SIMPLES, CORRENTE 10A, TENSÃO 250V, (10A-250V), COM PLACA 4"X2" DE UM (1) POSTO, INCLUSIVE FORNECIMENTO, INSTALAÇÃO, SUPORTE, MÓDULO E PLACA</v>
      </c>
      <c r="E110" s="180" t="str">
        <f>'MM CALC'!E106</f>
        <v>u</v>
      </c>
      <c r="F110" s="182">
        <f>'MM CALC'!F106</f>
        <v>20</v>
      </c>
      <c r="G110" s="240"/>
      <c r="H110" s="240"/>
      <c r="I110" s="240"/>
      <c r="K110" s="104"/>
    </row>
    <row r="111" spans="1:11" s="52" customFormat="1" ht="45" x14ac:dyDescent="0.2">
      <c r="A111" s="137" t="str">
        <f>'MM CALC'!A107</f>
        <v>6.4</v>
      </c>
      <c r="B111" s="137" t="str">
        <f>'MM CALC'!B107</f>
        <v>SEINFRA</v>
      </c>
      <c r="C111" s="180" t="str">
        <f>'MM CALC'!C107</f>
        <v>ED-15748</v>
      </c>
      <c r="D111" s="181" t="str">
        <f>'MM CALC'!D107</f>
        <v>CONJUNTO DE UMA (1) TOMADA PADRÃO, TRÊS (3) POLOS, CORRENTE 10A, TENSÃO 250V, (2P+T/10A-250V), COM PLACA 4"X2" DE UM (1) POSTO, INCLUSIVE FORNECIMENTO, INSTALAÇÃO, SUPORTE, MÓDULO E PLACA</v>
      </c>
      <c r="E111" s="180" t="str">
        <f>'MM CALC'!E107</f>
        <v>u</v>
      </c>
      <c r="F111" s="182">
        <f>'MM CALC'!F107</f>
        <v>24</v>
      </c>
      <c r="G111" s="240"/>
      <c r="H111" s="240"/>
      <c r="I111" s="240"/>
      <c r="K111" s="104"/>
    </row>
    <row r="112" spans="1:11" s="52" customFormat="1" ht="56.25" x14ac:dyDescent="0.2">
      <c r="A112" s="137" t="str">
        <f>'MM CALC'!A108</f>
        <v>6.5</v>
      </c>
      <c r="B112" s="137" t="str">
        <f>'MM CALC'!B108</f>
        <v>SEINFRA</v>
      </c>
      <c r="C112" s="180" t="str">
        <f>'MM CALC'!C108</f>
        <v>ED-15756</v>
      </c>
      <c r="D112" s="181" t="str">
        <f>'MM CALC'!D108</f>
        <v xml:space="preserve"> CONJUNTO DE DUAS (2) TOMADAS PADRÃO, TRÊS (3) POLOS,
CORRENTE 20A, TENSÃO 250V, (2P+T/20A-250V), COM PLACA 4"X2"
DE DOIS (2) POSTOS, INCLUSIVE FORNECIMENTO, INSTALAÇÃO,
SUPORTE, MÓDULO E PLACA</v>
      </c>
      <c r="E112" s="180" t="str">
        <f>'MM CALC'!E108</f>
        <v>u</v>
      </c>
      <c r="F112" s="182">
        <f>'MM CALC'!F108</f>
        <v>1</v>
      </c>
      <c r="G112" s="240"/>
      <c r="H112" s="240"/>
      <c r="I112" s="240"/>
      <c r="K112" s="104"/>
    </row>
    <row r="113" spans="1:11" s="52" customFormat="1" ht="22.5" x14ac:dyDescent="0.2">
      <c r="A113" s="137" t="str">
        <f>'MM CALC'!A109</f>
        <v>6.6</v>
      </c>
      <c r="B113" s="137" t="str">
        <f>'MM CALC'!B109</f>
        <v>SEINFRA</v>
      </c>
      <c r="C113" s="180" t="s">
        <v>504</v>
      </c>
      <c r="D113" s="181" t="s">
        <v>505</v>
      </c>
      <c r="E113" s="180" t="str">
        <f>'MM CALC'!E109</f>
        <v>u</v>
      </c>
      <c r="F113" s="182">
        <f>'MM CALC'!F109</f>
        <v>1</v>
      </c>
      <c r="G113" s="240"/>
      <c r="H113" s="240"/>
      <c r="I113" s="240"/>
      <c r="K113" s="104"/>
    </row>
    <row r="114" spans="1:11" s="52" customFormat="1" ht="22.5" x14ac:dyDescent="0.2">
      <c r="A114" s="137" t="str">
        <f>'MM CALC'!A110</f>
        <v>6.7</v>
      </c>
      <c r="B114" s="137" t="str">
        <f>'MM CALC'!B110</f>
        <v>SEINFRA</v>
      </c>
      <c r="C114" s="180" t="s">
        <v>506</v>
      </c>
      <c r="D114" s="181" t="s">
        <v>507</v>
      </c>
      <c r="E114" s="180" t="str">
        <f>'MM CALC'!E110</f>
        <v>u</v>
      </c>
      <c r="F114" s="182">
        <f>'MM CALC'!F110</f>
        <v>3</v>
      </c>
      <c r="G114" s="240"/>
      <c r="H114" s="240"/>
      <c r="I114" s="240"/>
      <c r="K114" s="104"/>
    </row>
    <row r="115" spans="1:11" s="52" customFormat="1" ht="22.5" x14ac:dyDescent="0.2">
      <c r="A115" s="137" t="str">
        <f>'MM CALC'!A111</f>
        <v>6.8</v>
      </c>
      <c r="B115" s="137" t="str">
        <f>'MM CALC'!B111</f>
        <v>SEINFRA</v>
      </c>
      <c r="C115" s="180" t="s">
        <v>508</v>
      </c>
      <c r="D115" s="181" t="s">
        <v>509</v>
      </c>
      <c r="E115" s="180" t="str">
        <f>'MM CALC'!E111</f>
        <v>u</v>
      </c>
      <c r="F115" s="182">
        <f>'MM CALC'!F111</f>
        <v>1</v>
      </c>
      <c r="G115" s="240"/>
      <c r="H115" s="240"/>
      <c r="I115" s="240"/>
      <c r="K115" s="104"/>
    </row>
    <row r="116" spans="1:11" s="52" customFormat="1" ht="22.5" x14ac:dyDescent="0.2">
      <c r="A116" s="137" t="str">
        <f>'MM CALC'!A112</f>
        <v>6.9</v>
      </c>
      <c r="B116" s="137" t="str">
        <f>'MM CALC'!B112</f>
        <v>SEINFRA</v>
      </c>
      <c r="C116" s="180" t="s">
        <v>510</v>
      </c>
      <c r="D116" s="181" t="s">
        <v>511</v>
      </c>
      <c r="E116" s="180" t="str">
        <f>'MM CALC'!E112</f>
        <v>u</v>
      </c>
      <c r="F116" s="182">
        <f>'MM CALC'!F112</f>
        <v>1</v>
      </c>
      <c r="G116" s="240"/>
      <c r="H116" s="240"/>
      <c r="I116" s="240"/>
      <c r="K116" s="104"/>
    </row>
    <row r="117" spans="1:11" s="52" customFormat="1" ht="33.75" x14ac:dyDescent="0.2">
      <c r="A117" s="137" t="str">
        <f>'MM CALC'!A113</f>
        <v>6.10</v>
      </c>
      <c r="B117" s="137" t="str">
        <f>'MM CALC'!B113</f>
        <v>SEINFRA</v>
      </c>
      <c r="C117" s="180" t="s">
        <v>512</v>
      </c>
      <c r="D117" s="181" t="s">
        <v>513</v>
      </c>
      <c r="E117" s="180" t="str">
        <f>'MM CALC'!E113</f>
        <v>u</v>
      </c>
      <c r="F117" s="182">
        <f>'MM CALC'!F113</f>
        <v>1</v>
      </c>
      <c r="G117" s="240"/>
      <c r="H117" s="240"/>
      <c r="I117" s="240"/>
      <c r="K117" s="104"/>
    </row>
    <row r="118" spans="1:11" s="52" customFormat="1" ht="45" x14ac:dyDescent="0.2">
      <c r="A118" s="137" t="str">
        <f>'MM CALC'!A114</f>
        <v>6.11</v>
      </c>
      <c r="B118" s="137" t="str">
        <f>'MM CALC'!B114</f>
        <v>SEINFRA</v>
      </c>
      <c r="C118" s="180" t="str">
        <f>'MM CALC'!C114</f>
        <v>ED-15115</v>
      </c>
      <c r="D118" s="181" t="str">
        <f>'MM CALC'!D114</f>
        <v xml:space="preserve"> DISJUNTOR DE PROTEÇÃO DIFERENCIAL RESIDUAL (DR),
BIPOLAR, TIPO DIN, CORRENTE NOMINAL DE 40A, ALTA
SENSIBILIDADE, CORRENTE DIFERENCIAL RESIDUAL NOMINAL
COM ATUAÇÃO DE 30MA</v>
      </c>
      <c r="E118" s="180" t="str">
        <f>'MM CALC'!E114</f>
        <v>u</v>
      </c>
      <c r="F118" s="182">
        <f>'MM CALC'!F114</f>
        <v>3</v>
      </c>
      <c r="G118" s="240"/>
      <c r="H118" s="240"/>
      <c r="I118" s="240"/>
      <c r="K118" s="104"/>
    </row>
    <row r="119" spans="1:11" s="52" customFormat="1" ht="33.75" x14ac:dyDescent="0.2">
      <c r="A119" s="137" t="str">
        <f>'MM CALC'!A115</f>
        <v>6.12</v>
      </c>
      <c r="B119" s="137" t="str">
        <f>'MM CALC'!B115</f>
        <v>SEINFRA</v>
      </c>
      <c r="C119" s="180" t="s">
        <v>514</v>
      </c>
      <c r="D119" s="181" t="s">
        <v>515</v>
      </c>
      <c r="E119" s="180" t="str">
        <f>'MM CALC'!E115</f>
        <v>u</v>
      </c>
      <c r="F119" s="182">
        <v>3</v>
      </c>
      <c r="G119" s="240"/>
      <c r="H119" s="240"/>
      <c r="I119" s="240"/>
      <c r="K119" s="104"/>
    </row>
    <row r="120" spans="1:11" s="52" customFormat="1" ht="45" x14ac:dyDescent="0.2">
      <c r="A120" s="137" t="str">
        <f>'MM CALC'!A116</f>
        <v>6.13</v>
      </c>
      <c r="B120" s="137" t="str">
        <f>'MM CALC'!B116</f>
        <v>SEINFRA</v>
      </c>
      <c r="C120" s="180" t="str">
        <f>'MM CALC'!C116</f>
        <v>ED-20580</v>
      </c>
      <c r="D120" s="181" t="str">
        <f>'MM CALC'!D116</f>
        <v xml:space="preserve"> ENTRADA DE ENERGIA AÉREA, TIPO B2, PADRÃO CEMIG, CARGA
INSTALADA DE 10,1KW ATÉ 15KW, BIFÁSICO, COM SAÍDA
SUBTERRÂNEA, INCLUSIVE POSTE, CAIXA PARA MEDIDOR,
DISJUNTOR, BARRAMENTO, ATERRAMENTO E ACESSÓRIOS</v>
      </c>
      <c r="E120" s="180" t="str">
        <f>'MM CALC'!E116</f>
        <v>u</v>
      </c>
      <c r="F120" s="182">
        <f>'MM CALC'!F116</f>
        <v>1</v>
      </c>
      <c r="G120" s="240"/>
      <c r="H120" s="240"/>
      <c r="I120" s="240"/>
      <c r="K120" s="104"/>
    </row>
    <row r="121" spans="1:11" s="57" customFormat="1" ht="11.25" x14ac:dyDescent="0.2">
      <c r="A121" s="138">
        <f>'MM CALC'!A117</f>
        <v>7</v>
      </c>
      <c r="B121" s="138"/>
      <c r="C121" s="139"/>
      <c r="D121" s="140" t="str">
        <f>'MM CALC'!D117</f>
        <v>INSTALAÇÕES HIDROSSANITÁRIAS</v>
      </c>
      <c r="E121" s="139"/>
      <c r="F121" s="141"/>
      <c r="G121" s="142"/>
      <c r="H121" s="145"/>
      <c r="I121" s="242"/>
      <c r="K121" s="103"/>
    </row>
    <row r="122" spans="1:11" s="52" customFormat="1" ht="22.5" x14ac:dyDescent="0.2">
      <c r="A122" s="137" t="str">
        <f>'MM CALC'!A118</f>
        <v>7.1</v>
      </c>
      <c r="B122" s="137" t="str">
        <f>'MM CALC'!B118</f>
        <v>SEINFRA</v>
      </c>
      <c r="C122" s="180" t="str">
        <f>'MM CALC'!C118</f>
        <v>ED-50221</v>
      </c>
      <c r="D122" s="181" t="str">
        <f>'MM CALC'!D118</f>
        <v>PONTO DE ÁGUA FRIA EMBUTIDO, INCLUINDO TUBO DE PVC RÍGIDO SOLDÁVEL E CONEXÕES</v>
      </c>
      <c r="E122" s="180" t="str">
        <f>'MM CALC'!E118</f>
        <v>u</v>
      </c>
      <c r="F122" s="182">
        <f>'MM CALC'!F118</f>
        <v>6</v>
      </c>
      <c r="G122" s="240"/>
      <c r="H122" s="240"/>
      <c r="I122" s="240"/>
      <c r="K122" s="104"/>
    </row>
    <row r="123" spans="1:11" s="52" customFormat="1" ht="33.75" x14ac:dyDescent="0.2">
      <c r="A123" s="137" t="str">
        <f>'MM CALC'!A119</f>
        <v>7.2</v>
      </c>
      <c r="B123" s="137" t="str">
        <f>'MM CALC'!B119</f>
        <v>SEINFRA</v>
      </c>
      <c r="C123" s="180" t="str">
        <f>'MM CALC'!C119</f>
        <v>ED-49989</v>
      </c>
      <c r="D123" s="181" t="str">
        <f>'MM CALC'!D119</f>
        <v>REGISTRO DE GAVETA, TIPO BASE, ROSCÁVEL 3/4" (PARA TUBO SOLDÁVEL OU PPR DN 25MM/CPVC DN 22MM), INCLUSIVE ACABAMENTO (PADRÃO MÉDIO) E CANOPLA CROMADO</v>
      </c>
      <c r="E123" s="180" t="str">
        <f>'MM CALC'!E119</f>
        <v>u</v>
      </c>
      <c r="F123" s="182">
        <f>'MM CALC'!F119</f>
        <v>6</v>
      </c>
      <c r="G123" s="240"/>
      <c r="H123" s="240"/>
      <c r="I123" s="240"/>
      <c r="K123" s="104"/>
    </row>
    <row r="124" spans="1:11" s="52" customFormat="1" ht="22.5" x14ac:dyDescent="0.2">
      <c r="A124" s="137" t="str">
        <f>'MM CALC'!A120</f>
        <v>7.3</v>
      </c>
      <c r="B124" s="137" t="str">
        <f>'MM CALC'!B120</f>
        <v>SEINFRA</v>
      </c>
      <c r="C124" s="180" t="str">
        <f>'MM CALC'!C120</f>
        <v>ED-50001</v>
      </c>
      <c r="D124" s="181" t="str">
        <f>'MM CALC'!D120</f>
        <v>REGISTRO DE ESFERA, TIPO PVC SOLDÁVEL DN 32MM (1"), INCLUSIVE VOLANTE PARA ACIONAMENTO</v>
      </c>
      <c r="E124" s="180" t="str">
        <f>'MM CALC'!E120</f>
        <v>u</v>
      </c>
      <c r="F124" s="182">
        <f>'MM CALC'!F120</f>
        <v>3</v>
      </c>
      <c r="G124" s="240"/>
      <c r="H124" s="240"/>
      <c r="I124" s="240"/>
      <c r="K124" s="104"/>
    </row>
    <row r="125" spans="1:11" s="52" customFormat="1" ht="22.5" x14ac:dyDescent="0.2">
      <c r="A125" s="137" t="str">
        <f>'MM CALC'!A121</f>
        <v>7.4</v>
      </c>
      <c r="B125" s="137" t="str">
        <f>'MM CALC'!B121</f>
        <v>SEINFRA</v>
      </c>
      <c r="C125" s="180" t="str">
        <f>'MM CALC'!C121</f>
        <v>ED-50000</v>
      </c>
      <c r="D125" s="181" t="str">
        <f>'MM CALC'!D121</f>
        <v>REGISTRO DE ESFERA, TIPO PVC SOLDÁVEL DN 25MM (3/4"), INCLUSIVE VOLANTE PARA ACIONAMENTO</v>
      </c>
      <c r="E125" s="180" t="str">
        <f>'MM CALC'!E121</f>
        <v>u</v>
      </c>
      <c r="F125" s="182">
        <f>'MM CALC'!F121</f>
        <v>2</v>
      </c>
      <c r="G125" s="240"/>
      <c r="H125" s="240"/>
      <c r="I125" s="240"/>
      <c r="K125" s="104"/>
    </row>
    <row r="126" spans="1:11" s="52" customFormat="1" ht="22.5" x14ac:dyDescent="0.2">
      <c r="A126" s="137" t="str">
        <f>'MM CALC'!A122</f>
        <v>7.5</v>
      </c>
      <c r="B126" s="137" t="str">
        <f>'MM CALC'!B122</f>
        <v>SEINFRA</v>
      </c>
      <c r="C126" s="180" t="str">
        <f>'MM CALC'!C122</f>
        <v>ED-50003</v>
      </c>
      <c r="D126" s="181" t="str">
        <f>'MM CALC'!D122</f>
        <v xml:space="preserve"> REGISTRO DE ESFERA, TIPO PVC SOLDÁVEL DN 50MM (1.1/2"),
INCLUSIVE VOLANTE PARA ACIONAMENTO</v>
      </c>
      <c r="E126" s="180" t="str">
        <f>'MM CALC'!E122</f>
        <v>u</v>
      </c>
      <c r="F126" s="182">
        <f>'MM CALC'!F122</f>
        <v>2</v>
      </c>
      <c r="G126" s="240"/>
      <c r="H126" s="240"/>
      <c r="I126" s="240"/>
      <c r="K126" s="104"/>
    </row>
    <row r="127" spans="1:11" s="52" customFormat="1" ht="33.75" x14ac:dyDescent="0.2">
      <c r="A127" s="137" t="str">
        <f>'MM CALC'!A123</f>
        <v>7.6</v>
      </c>
      <c r="B127" s="137" t="str">
        <f>'MM CALC'!B123</f>
        <v>SEINFRA</v>
      </c>
      <c r="C127" s="180" t="str">
        <f>'MM CALC'!C123</f>
        <v>ED-49965</v>
      </c>
      <c r="D127" s="181" t="str">
        <f>'MM CALC'!D123</f>
        <v>REGISTRO DE PRESSÃO, TIPO BASE, ROSCÁVEL 3/4" (PARA TUBO SOLDÁVEL OU PPR DN 25MM/CPVC DN 22MM), INCLUSIVE ACABAMENTO (PADRÃO MÉDIO) E CANOPLA CROMADOS</v>
      </c>
      <c r="E127" s="180" t="str">
        <f>'MM CALC'!E123</f>
        <v>u</v>
      </c>
      <c r="F127" s="182">
        <f>'MM CALC'!F123</f>
        <v>2</v>
      </c>
      <c r="G127" s="240"/>
      <c r="H127" s="240"/>
      <c r="I127" s="240"/>
      <c r="K127" s="104"/>
    </row>
    <row r="128" spans="1:11" s="52" customFormat="1" ht="22.5" x14ac:dyDescent="0.2">
      <c r="A128" s="137" t="str">
        <f>'MM CALC'!A124</f>
        <v>7.7</v>
      </c>
      <c r="B128" s="137" t="str">
        <f>'MM CALC'!B124</f>
        <v>SEINFRA</v>
      </c>
      <c r="C128" s="180" t="str">
        <f>'MM CALC'!C124</f>
        <v>ED-49845</v>
      </c>
      <c r="D128" s="181" t="str">
        <f>'MM CALC'!D124</f>
        <v>ADAPTADOR SOLDÁVEL DE PVC MARROM COM FLANGES E ANEL PARA CAIXA DÁGUA Ø 25 MM X 3/4"</v>
      </c>
      <c r="E128" s="180" t="str">
        <f>'MM CALC'!E124</f>
        <v>u</v>
      </c>
      <c r="F128" s="182">
        <f>'MM CALC'!F124</f>
        <v>2</v>
      </c>
      <c r="G128" s="240"/>
      <c r="H128" s="240"/>
      <c r="I128" s="240"/>
      <c r="K128" s="104"/>
    </row>
    <row r="129" spans="1:11" s="52" customFormat="1" ht="22.5" x14ac:dyDescent="0.2">
      <c r="A129" s="137" t="str">
        <f>'MM CALC'!A125</f>
        <v>7.8</v>
      </c>
      <c r="B129" s="137" t="str">
        <f>'MM CALC'!B125</f>
        <v>SEINFRA</v>
      </c>
      <c r="C129" s="180" t="str">
        <f>'MM CALC'!C125</f>
        <v>ED-49846</v>
      </c>
      <c r="D129" s="181" t="str">
        <f>'MM CALC'!D125</f>
        <v>ADAPTADOR SOLDÁVEL DE PVC MARROM COM FLANGES E ANEL PARA CAIXA DÁGUA Ø 32 MM X 1"</v>
      </c>
      <c r="E129" s="180" t="str">
        <f>'MM CALC'!E125</f>
        <v>u</v>
      </c>
      <c r="F129" s="182">
        <f>'MM CALC'!F125</f>
        <v>3</v>
      </c>
      <c r="G129" s="240"/>
      <c r="H129" s="240"/>
      <c r="I129" s="240"/>
      <c r="K129" s="104"/>
    </row>
    <row r="130" spans="1:11" s="52" customFormat="1" ht="45" x14ac:dyDescent="0.2">
      <c r="A130" s="137" t="str">
        <f>'MM CALC'!A127</f>
        <v>7.10</v>
      </c>
      <c r="B130" s="137" t="str">
        <f>'MM CALC'!B127</f>
        <v>SEINFRA</v>
      </c>
      <c r="C130" s="180" t="str">
        <f>'MM CALC'!C127</f>
        <v>ED-49935</v>
      </c>
      <c r="D130" s="181" t="str">
        <f>'MM CALC'!D127</f>
        <v xml:space="preserve"> CAIXA D´ÁGUA DE POLIETILENO, CAPACIDADE DE 500L,
INCLUSIVE TAMPA, TORNEIRA DE BOIA, EXTRAVASOR, TUBO DE
LIMPEZA E ACESSÓRIOS, EXCLUSIVE TUBULAÇÃO DE ENTRADA/
SAÍDA DE ÁGUA</v>
      </c>
      <c r="E130" s="180" t="str">
        <f>'MM CALC'!E127</f>
        <v>u</v>
      </c>
      <c r="F130" s="182">
        <f>'MM CALC'!F127</f>
        <v>2</v>
      </c>
      <c r="G130" s="240"/>
      <c r="H130" s="240"/>
      <c r="I130" s="240"/>
      <c r="K130" s="104"/>
    </row>
    <row r="131" spans="1:11" s="52" customFormat="1" ht="45" x14ac:dyDescent="0.2">
      <c r="A131" s="137" t="str">
        <f>'MM CALC'!A128</f>
        <v>7.11</v>
      </c>
      <c r="B131" s="137" t="str">
        <f>'MM CALC'!B128</f>
        <v>SEINFRA</v>
      </c>
      <c r="C131" s="180" t="str">
        <f>'MM CALC'!C128</f>
        <v>ED-15205</v>
      </c>
      <c r="D131" s="181" t="str">
        <f>'MM CALC'!D128</f>
        <v xml:space="preserve"> KIT CAVALETE PARA MEDIÇÃO DE ÁGUA, EMBUTIDO EM
ALVENARIA, EM AÇO GALVANIZADO DN 25MM (3/4") - PADRÃO
CONCESSIONÁRIA LOCAL, EXCLUSIVE HIDRÔMETRO
</v>
      </c>
      <c r="E131" s="180" t="str">
        <f>'MM CALC'!E128</f>
        <v>u</v>
      </c>
      <c r="F131" s="182">
        <f>'MM CALC'!F128</f>
        <v>1</v>
      </c>
      <c r="G131" s="240"/>
      <c r="H131" s="240"/>
      <c r="I131" s="240"/>
      <c r="K131" s="104"/>
    </row>
    <row r="132" spans="1:11" s="52" customFormat="1" ht="22.5" x14ac:dyDescent="0.2">
      <c r="A132" s="137" t="str">
        <f>'MM CALC'!A129</f>
        <v>7.12</v>
      </c>
      <c r="B132" s="137" t="str">
        <f>'MM CALC'!B129</f>
        <v>SEINFRA</v>
      </c>
      <c r="C132" s="180" t="str">
        <f>'MM CALC'!C129</f>
        <v>ED-50020</v>
      </c>
      <c r="D132" s="181" t="str">
        <f>'MM CALC'!D129</f>
        <v>FORNECIMENTO E ASSENTAMENTO DE TUBO PVC RÍGIDO SOLDÁVEL, ÁGUA FRIA, DN 32 MM (1") , INCLUSIVE CONEXÕES</v>
      </c>
      <c r="E132" s="180" t="str">
        <f>'MM CALC'!E129</f>
        <v>m</v>
      </c>
      <c r="F132" s="182">
        <f>'MM CALC'!F129</f>
        <v>25</v>
      </c>
      <c r="G132" s="240"/>
      <c r="H132" s="240"/>
      <c r="I132" s="240"/>
      <c r="K132" s="104"/>
    </row>
    <row r="133" spans="1:11" s="52" customFormat="1" ht="22.5" x14ac:dyDescent="0.2">
      <c r="A133" s="137" t="str">
        <f>'MM CALC'!A130</f>
        <v>7.13</v>
      </c>
      <c r="B133" s="137" t="str">
        <f>'MM CALC'!B130</f>
        <v>SEINFRA</v>
      </c>
      <c r="C133" s="180" t="str">
        <f>'MM CALC'!C130</f>
        <v>ED-50225</v>
      </c>
      <c r="D133" s="181" t="str">
        <f>'MM CALC'!D130</f>
        <v>PONTO DE ESGOTO, INCLUINDO TUBO DE PVC RÍGIDO SOLDÁVEL DE 100 MM E CONEXÕES (VASO SANITÁRIO)</v>
      </c>
      <c r="E133" s="180" t="str">
        <f>'MM CALC'!E130</f>
        <v>u</v>
      </c>
      <c r="F133" s="182">
        <f>'MM CALC'!F130</f>
        <v>4</v>
      </c>
      <c r="G133" s="240"/>
      <c r="H133" s="240"/>
      <c r="I133" s="240"/>
      <c r="K133" s="104"/>
    </row>
    <row r="134" spans="1:11" s="52" customFormat="1" ht="33.75" x14ac:dyDescent="0.2">
      <c r="A134" s="137" t="str">
        <f>'MM CALC'!A131</f>
        <v>7.14</v>
      </c>
      <c r="B134" s="137" t="str">
        <f>'MM CALC'!B131</f>
        <v>SEINFRA</v>
      </c>
      <c r="C134" s="180" t="str">
        <f>'MM CALC'!C131</f>
        <v>ED-50223</v>
      </c>
      <c r="D134" s="181" t="str">
        <f>'MM CALC'!D131</f>
        <v>PONTO DE ESGOTO, INCLUINDO TUBO DE PVC RÍGIDO SOLDÁVEL DE 40 MM E CONEXÕES (LAVATÓRIOS, MICTÓRIOS, RALOS SIFONADOS, ETC.)</v>
      </c>
      <c r="E134" s="180" t="str">
        <f>'MM CALC'!E131</f>
        <v>u</v>
      </c>
      <c r="F134" s="182">
        <f>'MM CALC'!F131</f>
        <v>7</v>
      </c>
      <c r="G134" s="240"/>
      <c r="H134" s="240"/>
      <c r="I134" s="240"/>
      <c r="K134" s="104"/>
    </row>
    <row r="135" spans="1:11" s="52" customFormat="1" ht="33.75" x14ac:dyDescent="0.2">
      <c r="A135" s="137" t="str">
        <f>'MM CALC'!A132</f>
        <v>7.15</v>
      </c>
      <c r="B135" s="137" t="str">
        <f>'MM CALC'!B132</f>
        <v>SEINFRA</v>
      </c>
      <c r="C135" s="180" t="str">
        <f>'MM CALC'!C132</f>
        <v>ED-50224</v>
      </c>
      <c r="D135" s="181" t="str">
        <f>'MM CALC'!D132</f>
        <v>PONTO DE ESGOTO, INCLUINDO TUBO DE PVC RÍGIDO SOLDÁVEL DE 50 MM E CONEXÕES (PIAS DE COZINHA, MÁQUINAS DE LAVAR, ETC.)</v>
      </c>
      <c r="E135" s="180" t="str">
        <f>'MM CALC'!E132</f>
        <v>u</v>
      </c>
      <c r="F135" s="182">
        <f>'MM CALC'!F132</f>
        <v>1</v>
      </c>
      <c r="G135" s="240"/>
      <c r="H135" s="240"/>
      <c r="I135" s="240"/>
      <c r="K135" s="104"/>
    </row>
    <row r="136" spans="1:11" s="52" customFormat="1" ht="33.75" x14ac:dyDescent="0.2">
      <c r="A136" s="137" t="str">
        <f>'MM CALC'!A133</f>
        <v>7.16</v>
      </c>
      <c r="B136" s="137" t="str">
        <f>'MM CALC'!B133</f>
        <v>SEINFRA</v>
      </c>
      <c r="C136" s="180" t="str">
        <f>'MM CALC'!C133</f>
        <v>ED-8845</v>
      </c>
      <c r="D136" s="181" t="str">
        <f>'MM CALC'!D133</f>
        <v>FORNECIMENTO E ASSENTAMENTO DE TUBO PVC RÍGIDO, VENTILAÇÃO, PBV - SÉRIE NORMAL, DN 50 MM (2"), INCLUSIVE CONEXÕES</v>
      </c>
      <c r="E136" s="180" t="str">
        <f>'MM CALC'!E133</f>
        <v>m</v>
      </c>
      <c r="F136" s="182">
        <f>'MM CALC'!F133</f>
        <v>10</v>
      </c>
      <c r="G136" s="240"/>
      <c r="H136" s="240"/>
      <c r="I136" s="240"/>
      <c r="K136" s="104"/>
    </row>
    <row r="137" spans="1:11" s="52" customFormat="1" ht="11.25" x14ac:dyDescent="0.2">
      <c r="A137" s="137" t="str">
        <f>'MM CALC'!A134</f>
        <v>7.17</v>
      </c>
      <c r="B137" s="137" t="str">
        <f>'MM CALC'!B134</f>
        <v>SEINFRA</v>
      </c>
      <c r="C137" s="180" t="str">
        <f>'MM CALC'!C134</f>
        <v>ED-49939</v>
      </c>
      <c r="D137" s="181" t="str">
        <f>'MM CALC'!D134</f>
        <v>CAIXA DE GORDURA PRÉ-FABRICADA SIMPLES VOL. 31 LITROS</v>
      </c>
      <c r="E137" s="180" t="str">
        <f>'MM CALC'!E134</f>
        <v>u</v>
      </c>
      <c r="F137" s="182">
        <f>'MM CALC'!F134</f>
        <v>1</v>
      </c>
      <c r="G137" s="240"/>
      <c r="H137" s="240"/>
      <c r="I137" s="240"/>
      <c r="K137" s="104"/>
    </row>
    <row r="138" spans="1:11" s="52" customFormat="1" ht="33.75" x14ac:dyDescent="0.2">
      <c r="A138" s="137" t="str">
        <f>'MM CALC'!A135</f>
        <v>7.18</v>
      </c>
      <c r="B138" s="137" t="str">
        <f>'MM CALC'!B135</f>
        <v>SEINFRA</v>
      </c>
      <c r="C138" s="180" t="str">
        <f>'MM CALC'!C135</f>
        <v>ED-50007</v>
      </c>
      <c r="D138" s="181" t="str">
        <f>'MM CALC'!D135</f>
        <v xml:space="preserve"> CAIXA SIFONADA EM PVC COM GRELHA QUADRADA150 X 150 X 50
MM</v>
      </c>
      <c r="E138" s="180" t="str">
        <f>'MM CALC'!E135</f>
        <v>u</v>
      </c>
      <c r="F138" s="182">
        <f>'MM CALC'!F135</f>
        <v>6</v>
      </c>
      <c r="G138" s="240"/>
      <c r="H138" s="240"/>
      <c r="I138" s="240"/>
      <c r="K138" s="104"/>
    </row>
    <row r="139" spans="1:11" s="52" customFormat="1" ht="56.25" x14ac:dyDescent="0.2">
      <c r="A139" s="137" t="str">
        <f>'MM CALC'!A136</f>
        <v>7.19</v>
      </c>
      <c r="B139" s="137" t="str">
        <f>'MM CALC'!B136</f>
        <v>SEINFRA</v>
      </c>
      <c r="C139" s="180" t="str">
        <f>'MM CALC'!C136</f>
        <v>ED-49887</v>
      </c>
      <c r="D139" s="181" t="str">
        <f>'MM CALC'!D136</f>
        <v>CAIXA DE ESGOTO DE INSPEÇÃO/PASSAGEM EM ALVENARIA (60X60X80CM), REVESTIMENTO EM ARGAMASSA COM ADITIVO IMPERMEABILIZANTE, COM TAMPA DE CONCRETO, INCLUSIVE ESCAVAÇÃO, REATERRO E TRANSPORTE E RETIRADA DO MATERIAL ESCAVADO (EM CAÇAMBA)</v>
      </c>
      <c r="E139" s="180" t="str">
        <f>'MM CALC'!E136</f>
        <v>u</v>
      </c>
      <c r="F139" s="182">
        <f>'MM CALC'!F136</f>
        <v>3</v>
      </c>
      <c r="G139" s="240"/>
      <c r="H139" s="240"/>
      <c r="I139" s="240"/>
      <c r="K139" s="104"/>
    </row>
    <row r="140" spans="1:11" s="52" customFormat="1" ht="26.45" customHeight="1" x14ac:dyDescent="0.2">
      <c r="A140" s="137" t="str">
        <f>'MM CALC'!A137</f>
        <v>7.20</v>
      </c>
      <c r="B140" s="137" t="str">
        <f>'MM CALC'!B137</f>
        <v>SEINFRA</v>
      </c>
      <c r="C140" s="180" t="str">
        <f>'MM CALC'!C137</f>
        <v>ED-50105</v>
      </c>
      <c r="D140" s="181" t="str">
        <f>'MM CALC'!D137</f>
        <v>FORNECIMENTO E ASSENTAMENTO DE TUBO PVC RÍGIDO, COLETOR DE ESGOTO LISO (JEI), DN 100 MM (4"), INCLUSIVE CONEXÕES</v>
      </c>
      <c r="E140" s="180" t="str">
        <f>'MM CALC'!E137</f>
        <v>m</v>
      </c>
      <c r="F140" s="182">
        <f>'MM CALC'!F137</f>
        <v>40</v>
      </c>
      <c r="G140" s="239"/>
      <c r="H140" s="240"/>
      <c r="I140" s="240"/>
      <c r="K140" s="104"/>
    </row>
    <row r="141" spans="1:11" s="52" customFormat="1" ht="11.25" x14ac:dyDescent="0.2">
      <c r="A141" s="137" t="str">
        <f>'MM CALC'!A138</f>
        <v>7.21</v>
      </c>
      <c r="B141" s="137" t="str">
        <f>'MM CALC'!B138</f>
        <v>SEINFRA</v>
      </c>
      <c r="C141" s="180" t="str">
        <f>'MM CALC'!C138</f>
        <v>ED-48586</v>
      </c>
      <c r="D141" s="181" t="str">
        <f>'MM CALC'!D138</f>
        <v>CAIXA DE AREIA 50 X 60 X 70 CM</v>
      </c>
      <c r="E141" s="180" t="str">
        <f>'MM CALC'!E138</f>
        <v>u</v>
      </c>
      <c r="F141" s="182">
        <f>'MM CALC'!F138</f>
        <v>1</v>
      </c>
      <c r="G141" s="239"/>
      <c r="H141" s="240"/>
      <c r="I141" s="240"/>
      <c r="K141" s="104"/>
    </row>
    <row r="142" spans="1:11" s="52" customFormat="1" ht="22.5" x14ac:dyDescent="0.2">
      <c r="A142" s="137" t="str">
        <f>'MM CALC'!A139</f>
        <v>7.22</v>
      </c>
      <c r="B142" s="137" t="str">
        <f>'MM CALC'!B139</f>
        <v>SEINFRA</v>
      </c>
      <c r="C142" s="180" t="str">
        <f>'MM CALC'!C139</f>
        <v>ED-50668</v>
      </c>
      <c r="D142" s="181" t="str">
        <f>'MM CALC'!D139</f>
        <v>CONDUTOR DE AP DO TELHADO EM TUBO PVC ESGOTO, INCLUSIVE CONEXÕES E SUPORTES, 100 MM</v>
      </c>
      <c r="E142" s="180" t="str">
        <f>'MM CALC'!E139</f>
        <v>m</v>
      </c>
      <c r="F142" s="182">
        <f>'MM CALC'!F139</f>
        <v>7.45</v>
      </c>
      <c r="G142" s="239"/>
      <c r="H142" s="240"/>
      <c r="I142" s="240"/>
      <c r="K142" s="104"/>
    </row>
    <row r="143" spans="1:11" s="57" customFormat="1" ht="11.25" x14ac:dyDescent="0.2">
      <c r="A143" s="138">
        <f>'MM CALC'!A140</f>
        <v>8</v>
      </c>
      <c r="B143" s="138"/>
      <c r="C143" s="139"/>
      <c r="D143" s="140" t="str">
        <f>'MM CALC'!D140</f>
        <v>PISO EXTERNO</v>
      </c>
      <c r="E143" s="139"/>
      <c r="F143" s="144"/>
      <c r="G143" s="142"/>
      <c r="H143" s="142"/>
      <c r="I143" s="243"/>
      <c r="K143" s="103"/>
    </row>
    <row r="144" spans="1:11" s="52" customFormat="1" ht="22.5" x14ac:dyDescent="0.2">
      <c r="A144" s="137" t="str">
        <f>'MM CALC'!A141</f>
        <v>8.1</v>
      </c>
      <c r="B144" s="137" t="str">
        <f>'MM CALC'!B141</f>
        <v>SEINFRA</v>
      </c>
      <c r="C144" s="180" t="str">
        <f>'MM CALC'!C141</f>
        <v>ED-50437</v>
      </c>
      <c r="D144" s="181" t="str">
        <f>'MM CALC'!D141</f>
        <v>PLANTIO DE GRAMA ESMERALDA EM PLACAS, INCLUSIVE TERRA VEGETAL E CONSERVAÇÃO POR TRINTA (30) DIAS</v>
      </c>
      <c r="E144" s="180" t="str">
        <f>'MM CALC'!E141</f>
        <v>m²</v>
      </c>
      <c r="F144" s="182">
        <f>'MM CALC'!F141</f>
        <v>50.219999999999992</v>
      </c>
      <c r="G144" s="239"/>
      <c r="H144" s="240"/>
      <c r="I144" s="240"/>
      <c r="K144" s="104"/>
    </row>
    <row r="145" spans="1:11" s="52" customFormat="1" ht="56.25" x14ac:dyDescent="0.2">
      <c r="A145" s="137" t="str">
        <f>'MM CALC'!A142</f>
        <v>8.2</v>
      </c>
      <c r="B145" s="137" t="str">
        <f>'MM CALC'!B142</f>
        <v>SEINFRA</v>
      </c>
      <c r="C145" s="180" t="str">
        <f>'MM CALC'!C142</f>
        <v>ED-51141</v>
      </c>
      <c r="D145" s="181" t="str">
        <f>'MM CALC'!D142</f>
        <v>GUIA DE MEIO-FIO, EM CONCRETO COM FCK 15MPA, MOLDADA INLOCO, SEÇÃO 15X45CM, FORMA EM MADEIRA, EXCLUSIVE SARJETA, INCLUSIVE ESCAVAÇÃO, APILOAMENTO E TRANSPORTE COM RETIRADA DO MATERIAL ESCAVADO (EM CAÇAMBA)</v>
      </c>
      <c r="E145" s="180" t="str">
        <f>'MM CALC'!E142</f>
        <v>m</v>
      </c>
      <c r="F145" s="182">
        <f>'MM CALC'!F142</f>
        <v>12</v>
      </c>
      <c r="G145" s="239"/>
      <c r="H145" s="240"/>
      <c r="I145" s="240"/>
      <c r="K145" s="104"/>
    </row>
    <row r="146" spans="1:11" s="57" customFormat="1" ht="11.25" x14ac:dyDescent="0.2">
      <c r="A146" s="161">
        <f>'MM CALC'!A143</f>
        <v>9</v>
      </c>
      <c r="B146" s="148"/>
      <c r="C146" s="138"/>
      <c r="D146" s="189" t="s">
        <v>254</v>
      </c>
      <c r="E146" s="163"/>
      <c r="F146" s="164"/>
      <c r="G146" s="142"/>
      <c r="H146" s="143"/>
      <c r="I146" s="242"/>
      <c r="K146" s="103"/>
    </row>
    <row r="147" spans="1:11" s="52" customFormat="1" ht="33.75" customHeight="1" x14ac:dyDescent="0.2">
      <c r="A147" s="236" t="str">
        <f>'MM CALC'!A144</f>
        <v>9.1</v>
      </c>
      <c r="B147" s="183" t="str">
        <f>'MM CALC'!B144</f>
        <v>SEINFRA</v>
      </c>
      <c r="C147" s="137" t="str">
        <f>'MM CALC'!C144</f>
        <v>ED-51068</v>
      </c>
      <c r="D147" s="197" t="str">
        <f>'MM CALC'!D144</f>
        <v xml:space="preserve"> MASTRO SIMPLES DE FERRO GALVANIZADO PARA PÁRA-RAIOS,
ALTURA DE 3 M, Ø 40 MM (1 1/2") OU 50 MM (2"), COMPLETO</v>
      </c>
      <c r="E147" s="194" t="str">
        <f>'MM CALC'!E144</f>
        <v>un</v>
      </c>
      <c r="F147" s="187">
        <f>'MM CALC'!F144</f>
        <v>1</v>
      </c>
      <c r="G147" s="239"/>
      <c r="H147" s="240"/>
      <c r="I147" s="240"/>
      <c r="K147" s="104"/>
    </row>
    <row r="148" spans="1:11" s="52" customFormat="1" ht="22.5" x14ac:dyDescent="0.2">
      <c r="A148" s="236" t="str">
        <f>'MM CALC'!A145</f>
        <v>9.2</v>
      </c>
      <c r="B148" s="183" t="str">
        <f>'MM CALC'!B145</f>
        <v>SEINFRA</v>
      </c>
      <c r="C148" s="137" t="str">
        <f>'MM CALC'!C145</f>
        <v>ED-51073</v>
      </c>
      <c r="D148" s="197" t="str">
        <f>'MM CALC'!D145</f>
        <v xml:space="preserve"> PARA-RAIO DE LATAO CROMADO, COBRE CROMADO OU ACO
INOXIDAVEL, TIPO FRANKLIN</v>
      </c>
      <c r="E148" s="194" t="str">
        <f>'MM CALC'!E145</f>
        <v>un</v>
      </c>
      <c r="F148" s="187">
        <f>'MM CALC'!F145</f>
        <v>1</v>
      </c>
      <c r="G148" s="239"/>
      <c r="H148" s="240"/>
      <c r="I148" s="240"/>
      <c r="K148" s="104"/>
    </row>
    <row r="149" spans="1:11" s="52" customFormat="1" ht="22.5" x14ac:dyDescent="0.2">
      <c r="A149" s="236" t="str">
        <f>'MM CALC'!A146</f>
        <v>9.3</v>
      </c>
      <c r="B149" s="183" t="str">
        <f>'MM CALC'!B146</f>
        <v>SEINFRA</v>
      </c>
      <c r="C149" s="137" t="str">
        <f>'MM CALC'!C146</f>
        <v>ED-51090</v>
      </c>
      <c r="D149" s="197" t="str">
        <f>'MM CALC'!D146</f>
        <v xml:space="preserve"> TERMINAL A COMPRESSAO EM COBRE ESTANHADO 2 FUROS
PARA CABO 35 MM2</v>
      </c>
      <c r="E149" s="194" t="str">
        <f>'MM CALC'!E146</f>
        <v>un</v>
      </c>
      <c r="F149" s="187">
        <f>'MM CALC'!F146</f>
        <v>5</v>
      </c>
      <c r="G149" s="239"/>
      <c r="H149" s="240"/>
      <c r="I149" s="240"/>
      <c r="K149" s="104"/>
    </row>
    <row r="150" spans="1:11" s="52" customFormat="1" ht="33.75" x14ac:dyDescent="0.2">
      <c r="A150" s="236" t="str">
        <f>'MM CALC'!A147</f>
        <v>9.4</v>
      </c>
      <c r="B150" s="183" t="str">
        <f>'MM CALC'!B147</f>
        <v>SEINFRA</v>
      </c>
      <c r="C150" s="137" t="str">
        <f>'MM CALC'!C147</f>
        <v>ED-13934</v>
      </c>
      <c r="D150" s="197" t="str">
        <f>'MM CALC'!D147</f>
        <v>CABO DE COBRE NU #35MM2 - 7 FIOSX2,50MM, PARA ELEMENTOS DE CAPTAÇÃO/ANEL DE CINTAMENTO (SPDA), INCLUSIVE PRESILHA DE FIXAÇÃO</v>
      </c>
      <c r="E150" s="194" t="str">
        <f>'MM CALC'!E147</f>
        <v>m</v>
      </c>
      <c r="F150" s="187">
        <f>'MM CALC'!F147</f>
        <v>50</v>
      </c>
      <c r="G150" s="239"/>
      <c r="H150" s="240"/>
      <c r="I150" s="240"/>
      <c r="K150" s="104"/>
    </row>
    <row r="151" spans="1:11" s="52" customFormat="1" ht="56.25" x14ac:dyDescent="0.2">
      <c r="A151" s="236" t="str">
        <f>'MM CALC'!A148</f>
        <v>9.5</v>
      </c>
      <c r="B151" s="183" t="str">
        <f>'MM CALC'!B148</f>
        <v>SEINFRA</v>
      </c>
      <c r="C151" s="137" t="str">
        <f>'MM CALC'!C148</f>
        <v>ED-51015</v>
      </c>
      <c r="D151" s="197" t="str">
        <f>'MM CALC'!D148</f>
        <v xml:space="preserve"> APARELHO SINALIZADOR NOTURNO DE OBSTÁCULOS AÉREO,
SIMPLES, COM CÉLULA FOTOELÉTRICA, INCLUSIVE UMA (1)
LÂMPADA LED, POTÊNCIA 9W, BULBO A60, E SUPORTE DE TOPO
PARA MASTRO, EXCLUSIVE MASTRO
</v>
      </c>
      <c r="E151" s="194" t="str">
        <f>'MM CALC'!E148</f>
        <v>un</v>
      </c>
      <c r="F151" s="187">
        <f>'MM CALC'!F148</f>
        <v>1</v>
      </c>
      <c r="G151" s="239"/>
      <c r="H151" s="240"/>
      <c r="I151" s="240"/>
      <c r="K151" s="104"/>
    </row>
    <row r="152" spans="1:11" s="52" customFormat="1" ht="11.25" x14ac:dyDescent="0.2">
      <c r="A152" s="161">
        <f>'MM CALC'!A149</f>
        <v>10</v>
      </c>
      <c r="B152" s="148"/>
      <c r="C152" s="147"/>
      <c r="D152" s="237" t="str">
        <f>'MM CALC'!D149</f>
        <v>INSTALAÇÃO DE REDE ESTRUTURADA</v>
      </c>
      <c r="E152" s="215"/>
      <c r="F152" s="164"/>
      <c r="G152" s="146"/>
      <c r="H152" s="205"/>
      <c r="I152" s="238"/>
      <c r="K152" s="104"/>
    </row>
    <row r="153" spans="1:11" s="52" customFormat="1" ht="45" x14ac:dyDescent="0.2">
      <c r="A153" s="236" t="str">
        <f>'MM CALC'!A150</f>
        <v>10.1</v>
      </c>
      <c r="B153" s="183" t="str">
        <f>'MM CALC'!B150</f>
        <v>SEINFRA</v>
      </c>
      <c r="C153" s="137" t="s">
        <v>516</v>
      </c>
      <c r="D153" s="197" t="s">
        <v>517</v>
      </c>
      <c r="E153" s="195" t="str">
        <f>'MM CALC'!E150</f>
        <v>m</v>
      </c>
      <c r="F153" s="187">
        <f>'MM CALC'!F150</f>
        <v>15</v>
      </c>
      <c r="G153" s="239"/>
      <c r="H153" s="240"/>
      <c r="I153" s="240"/>
      <c r="K153" s="107"/>
    </row>
    <row r="154" spans="1:11" s="52" customFormat="1" ht="11.25" x14ac:dyDescent="0.2">
      <c r="A154" s="236" t="str">
        <f>'MM CALC'!A151</f>
        <v>10.2</v>
      </c>
      <c r="B154" s="183" t="str">
        <f>'MM CALC'!B151</f>
        <v>SEINFRA</v>
      </c>
      <c r="C154" s="137" t="str">
        <f>'MM CALC'!C151</f>
        <v>ED-48363</v>
      </c>
      <c r="D154" s="197" t="str">
        <f>'MM CALC'!D151</f>
        <v>CABO COAXIAL RG-59-75 OHMS</v>
      </c>
      <c r="E154" s="195" t="str">
        <f>'MM CALC'!E151</f>
        <v>m</v>
      </c>
      <c r="F154" s="187">
        <f>'MM CALC'!F151</f>
        <v>15</v>
      </c>
      <c r="G154" s="239"/>
      <c r="H154" s="240"/>
      <c r="I154" s="240"/>
      <c r="K154" s="107"/>
    </row>
    <row r="155" spans="1:11" s="52" customFormat="1" ht="33.75" x14ac:dyDescent="0.2">
      <c r="A155" s="236" t="str">
        <f>'MM CALC'!A152</f>
        <v>10.3</v>
      </c>
      <c r="B155" s="183" t="str">
        <f>'MM CALC'!B152</f>
        <v>SEINFRA</v>
      </c>
      <c r="C155" s="137" t="str">
        <f>'MM CALC'!C152</f>
        <v>ED-15762</v>
      </c>
      <c r="D155" s="197" t="str">
        <f>'MM CALC'!D152</f>
        <v>CONJUNTO DE DUAS (2) TOMADAS DE DADOS (CONECTOR RJ45
CAT.6E), COM PLACA 4"X2" DE DOIS (2) POSTOS, INCLUSIVE
FORNECIMENTO, INSTALAÇÃO, SUPORTE, MÓDULO E PLACA</v>
      </c>
      <c r="E155" s="195" t="str">
        <f>'MM CALC'!E152</f>
        <v xml:space="preserve">un </v>
      </c>
      <c r="F155" s="187">
        <f>'MM CALC'!F152</f>
        <v>1</v>
      </c>
      <c r="G155" s="239"/>
      <c r="H155" s="240"/>
      <c r="I155" s="240"/>
      <c r="K155" s="107"/>
    </row>
    <row r="156" spans="1:11" s="52" customFormat="1" ht="33.75" x14ac:dyDescent="0.2">
      <c r="A156" s="236" t="str">
        <f>'MM CALC'!A153</f>
        <v>10.4</v>
      </c>
      <c r="B156" s="183" t="str">
        <f>'MM CALC'!B153</f>
        <v>SEINFRA</v>
      </c>
      <c r="C156" s="137" t="str">
        <f>'MM CALC'!C153</f>
        <v>ED-15795</v>
      </c>
      <c r="D156" s="197" t="str">
        <f>'MM CALC'!D153</f>
        <v>CONJUNTO DE DUAS (2) TOMADAS TELEFÔNICAS (CONECTOR RJ11), COM PLACA 4"X4" DE DOIS (2) POSTOS, INCLUSIVE FORNECIMENTO, INSTALAÇÃO, SUPORTE, MÓDULO E PLACA</v>
      </c>
      <c r="E156" s="195" t="str">
        <f>'MM CALC'!E153</f>
        <v xml:space="preserve">un </v>
      </c>
      <c r="F156" s="187">
        <f>'MM CALC'!F153</f>
        <v>1</v>
      </c>
      <c r="G156" s="239"/>
      <c r="H156" s="240"/>
      <c r="I156" s="240"/>
      <c r="K156" s="107"/>
    </row>
    <row r="157" spans="1:11" s="52" customFormat="1" ht="33.75" x14ac:dyDescent="0.2">
      <c r="A157" s="236" t="str">
        <f>'MM CALC'!A154</f>
        <v>10.5</v>
      </c>
      <c r="B157" s="183" t="str">
        <f>'MM CALC'!B154</f>
        <v>SEINFRA</v>
      </c>
      <c r="C157" s="137" t="str">
        <f>'MM CALC'!C154</f>
        <v>ED-15753</v>
      </c>
      <c r="D157" s="197" t="str">
        <f>'MM CALC'!D154</f>
        <v>CONJUNTO DE UMA (1) TOMADA DE ANTENA (CONECTOR COAXIAL), COM PLACA 4"X2" DE UM (1) POSTO, INCLUSIVE FORNECIMENTO, INSTALAÇÃO, SUPORTE, MÓDULO E PLACA</v>
      </c>
      <c r="E157" s="195" t="str">
        <f>'MM CALC'!E154</f>
        <v xml:space="preserve">un </v>
      </c>
      <c r="F157" s="187">
        <f>'MM CALC'!F154</f>
        <v>1</v>
      </c>
      <c r="G157" s="239"/>
      <c r="H157" s="240"/>
      <c r="I157" s="240"/>
      <c r="K157" s="107"/>
    </row>
    <row r="158" spans="1:11" ht="33.75" x14ac:dyDescent="0.2">
      <c r="A158" s="236" t="str">
        <f>'MM CALC'!A155</f>
        <v>10.6</v>
      </c>
      <c r="B158" s="183" t="str">
        <f>'MM CALC'!B155</f>
        <v>SEINFRA</v>
      </c>
      <c r="C158" s="137" t="str">
        <f>'MM CALC'!C155</f>
        <v>ED-49168</v>
      </c>
      <c r="D158" s="197" t="str">
        <f>'MM CALC'!D155</f>
        <v>CAIXA DE PASSAGEM EM ALVENARIA E TAMPA DE CONCRETO, FUNDO DE BRITA, TIPO 1, 30 X 30 X 40 CM, INCLUSIVE ESCAVAÇÃO, REATERRO E BOTA-FORA</v>
      </c>
      <c r="E158" s="195" t="str">
        <f>'MM CALC'!E155</f>
        <v xml:space="preserve">un </v>
      </c>
      <c r="F158" s="187">
        <f>'MM CALC'!F155</f>
        <v>1</v>
      </c>
      <c r="G158" s="239"/>
      <c r="H158" s="240"/>
      <c r="I158" s="240"/>
    </row>
    <row r="159" spans="1:11" ht="45" x14ac:dyDescent="0.2">
      <c r="A159" s="236" t="str">
        <f>'MM CALC'!A156</f>
        <v>10.7</v>
      </c>
      <c r="B159" s="183" t="str">
        <f>'MM CALC'!B156</f>
        <v>SEINFRA</v>
      </c>
      <c r="C159" s="137" t="s">
        <v>518</v>
      </c>
      <c r="D159" s="197" t="s">
        <v>519</v>
      </c>
      <c r="E159" s="195" t="str">
        <f>'MM CALC'!E156</f>
        <v xml:space="preserve">un </v>
      </c>
      <c r="F159" s="187">
        <f>'MM CALC'!F156</f>
        <v>1</v>
      </c>
      <c r="G159" s="239"/>
      <c r="H159" s="240"/>
      <c r="I159" s="240"/>
    </row>
    <row r="160" spans="1:11" ht="22.5" x14ac:dyDescent="0.2">
      <c r="A160" s="236" t="str">
        <f>'MM CALC'!A157</f>
        <v>10.8</v>
      </c>
      <c r="B160" s="183" t="str">
        <f>'MM CALC'!B157</f>
        <v>SEINFRA</v>
      </c>
      <c r="C160" s="137" t="str">
        <f>'MM CALC'!C157</f>
        <v>ED-49415</v>
      </c>
      <c r="D160" s="197" t="str">
        <f>'MM CALC'!D157</f>
        <v>ELETRODUTO FLEXÍVEL CORRUGADO, PVC, ANTI-CHAMA, DN 32MM (1"), APLICADO EM ALVENARIA, INCLUSIVE RASGO</v>
      </c>
      <c r="E160" s="195" t="str">
        <f>'MM CALC'!E157</f>
        <v>m</v>
      </c>
      <c r="F160" s="187">
        <f>'MM CALC'!F157</f>
        <v>10</v>
      </c>
      <c r="G160" s="239"/>
      <c r="H160" s="240"/>
      <c r="I160" s="240"/>
    </row>
    <row r="161" spans="1:9" x14ac:dyDescent="0.2">
      <c r="A161" s="161">
        <f>'MM CALC'!A158</f>
        <v>11</v>
      </c>
      <c r="B161" s="148"/>
      <c r="C161" s="147"/>
      <c r="D161" s="237" t="str">
        <f>'MM CALC'!D158</f>
        <v>SISTEMA DE PROTEÇÃO CONTRA INCÊNDIO</v>
      </c>
      <c r="E161" s="215"/>
      <c r="F161" s="164"/>
      <c r="G161" s="207"/>
      <c r="H161" s="207"/>
      <c r="I161" s="238"/>
    </row>
    <row r="162" spans="1:9" ht="22.5" x14ac:dyDescent="0.2">
      <c r="A162" s="236" t="str">
        <f>'MM CALC'!A159</f>
        <v>11.1</v>
      </c>
      <c r="B162" s="183" t="str">
        <f>'MM CALC'!B159</f>
        <v>SEINFRA</v>
      </c>
      <c r="C162" s="137" t="str">
        <f>'MM CALC'!C159</f>
        <v>ED-50193</v>
      </c>
      <c r="D162" s="197" t="str">
        <f>'MM CALC'!D159</f>
        <v xml:space="preserve">EXTINTOR DE INCÊNDIO TIPO PÓ QUIMICO 2-A:20-B:C, CAPACIDADE DE 6 Kg </v>
      </c>
      <c r="E162" s="195" t="str">
        <f>'MM CALC'!E159</f>
        <v>u</v>
      </c>
      <c r="F162" s="187">
        <f>'MM CALC'!F159</f>
        <v>2</v>
      </c>
      <c r="G162" s="239"/>
      <c r="H162" s="240"/>
      <c r="I162" s="240"/>
    </row>
    <row r="163" spans="1:9" ht="22.5" x14ac:dyDescent="0.2">
      <c r="A163" s="236" t="str">
        <f>'MM CALC'!A160</f>
        <v>11.2</v>
      </c>
      <c r="B163" s="183" t="str">
        <f>'MM CALC'!B160</f>
        <v>SEINFRA</v>
      </c>
      <c r="C163" s="137" t="str">
        <f>'MM CALC'!C160</f>
        <v>ED-26989</v>
      </c>
      <c r="D163" s="197" t="str">
        <f>'MM CALC'!D160</f>
        <v>LUMINÁRIA DE EMERGÊNCIA DE BLOCOS AUTONÔMOS DE LED, COM AUTONOMIA DE 2H</v>
      </c>
      <c r="E163" s="195" t="str">
        <f>'MM CALC'!E160</f>
        <v>u</v>
      </c>
      <c r="F163" s="187">
        <f>'MM CALC'!F160</f>
        <v>5</v>
      </c>
      <c r="G163" s="239"/>
      <c r="H163" s="240"/>
      <c r="I163" s="240"/>
    </row>
    <row r="164" spans="1:9" ht="22.5" x14ac:dyDescent="0.2">
      <c r="A164" s="236" t="str">
        <f>'MM CALC'!A161</f>
        <v>11.3</v>
      </c>
      <c r="B164" s="183" t="str">
        <f>'MM CALC'!B161</f>
        <v>SEINFRA</v>
      </c>
      <c r="C164" s="137" t="str">
        <f>'MM CALC'!C161</f>
        <v>ED-50194</v>
      </c>
      <c r="D164" s="197" t="str">
        <f>'MM CALC'!D161</f>
        <v>MARCAÇÃO DE PISO PARA LOCALIZAÇÃO DE EXTINTOR, DIMENSÕES 100X100CM</v>
      </c>
      <c r="E164" s="195" t="str">
        <f>'MM CALC'!E161</f>
        <v>u</v>
      </c>
      <c r="F164" s="187">
        <f>'MM CALC'!F161</f>
        <v>2</v>
      </c>
      <c r="G164" s="239"/>
      <c r="H164" s="240"/>
      <c r="I164" s="240"/>
    </row>
    <row r="165" spans="1:9" x14ac:dyDescent="0.2">
      <c r="A165" s="236" t="str">
        <f>'MM CALC'!A162</f>
        <v>11.4</v>
      </c>
      <c r="B165" s="183" t="str">
        <f>'MM CALC'!B162</f>
        <v>SEINFRA</v>
      </c>
      <c r="C165" s="137" t="str">
        <f>'MM CALC'!C162</f>
        <v>ED-50199</v>
      </c>
      <c r="D165" s="197" t="str">
        <f>'MM CALC'!D162</f>
        <v>PLACA FOTOLUMINESCENTE "E5"</v>
      </c>
      <c r="E165" s="195" t="str">
        <f>'MM CALC'!E162</f>
        <v>u</v>
      </c>
      <c r="F165" s="187">
        <f>'MM CALC'!F162</f>
        <v>2</v>
      </c>
      <c r="G165" s="239"/>
      <c r="H165" s="240"/>
      <c r="I165" s="240"/>
    </row>
    <row r="166" spans="1:9" x14ac:dyDescent="0.2">
      <c r="A166" s="236" t="str">
        <f>'MM CALC'!A163</f>
        <v>11.5</v>
      </c>
      <c r="B166" s="183" t="str">
        <f>'MM CALC'!B163</f>
        <v>SEINFRA</v>
      </c>
      <c r="C166" s="137" t="str">
        <f>'MM CALC'!C163</f>
        <v>ED-50205</v>
      </c>
      <c r="D166" s="197" t="str">
        <f>'MM CALC'!D163</f>
        <v>PLACA FOTOLUMINESCENTE "S12"OU"S3"(SAÍDA)</v>
      </c>
      <c r="E166" s="195" t="str">
        <f>'MM CALC'!E163</f>
        <v>u</v>
      </c>
      <c r="F166" s="187">
        <f>'MM CALC'!F163</f>
        <v>7</v>
      </c>
      <c r="G166" s="239"/>
      <c r="H166" s="240"/>
      <c r="I166" s="240"/>
    </row>
    <row r="167" spans="1:9" x14ac:dyDescent="0.2">
      <c r="A167" s="236" t="str">
        <f>'MM CALC'!A164</f>
        <v>11.6</v>
      </c>
      <c r="B167" s="183" t="str">
        <f>'MM CALC'!B164</f>
        <v>SEINFRA</v>
      </c>
      <c r="C167" s="137" t="str">
        <f>'MM CALC'!C164</f>
        <v>ED-50201</v>
      </c>
      <c r="D167" s="197" t="str">
        <f>'MM CALC'!D164</f>
        <v>PLACA FOTOLUMINESCENTE "S1" OU "S2"-  (SAÍDA - DIREITA)</v>
      </c>
      <c r="E167" s="195" t="str">
        <f>'MM CALC'!E164</f>
        <v>u</v>
      </c>
      <c r="F167" s="187">
        <f>'MM CALC'!F164</f>
        <v>3</v>
      </c>
      <c r="G167" s="239"/>
      <c r="H167" s="240"/>
      <c r="I167" s="240"/>
    </row>
    <row r="168" spans="1:9" x14ac:dyDescent="0.2">
      <c r="A168" s="236" t="str">
        <f>'MM CALC'!A165</f>
        <v>11.7</v>
      </c>
      <c r="B168" s="183" t="str">
        <f>'MM CALC'!B165</f>
        <v>SEINFRA</v>
      </c>
      <c r="C168" s="137" t="str">
        <f>'MM CALC'!C165</f>
        <v>ED-50180</v>
      </c>
      <c r="D168" s="197" t="str">
        <f>'MM CALC'!D165</f>
        <v>ACIONADOR MANUAL DE ALARME DE INCÊNDIO</v>
      </c>
      <c r="E168" s="195" t="str">
        <f>'MM CALC'!E165</f>
        <v>u</v>
      </c>
      <c r="F168" s="187">
        <f>'MM CALC'!F165</f>
        <v>1</v>
      </c>
      <c r="G168" s="239"/>
      <c r="H168" s="240"/>
      <c r="I168" s="240"/>
    </row>
    <row r="169" spans="1:9" x14ac:dyDescent="0.2">
      <c r="A169" s="161">
        <f>'MM CALC'!A166</f>
        <v>12</v>
      </c>
      <c r="B169" s="172"/>
      <c r="C169" s="147"/>
      <c r="D169" s="237" t="str">
        <f>'MM CALC'!D166</f>
        <v>LIMPEZA DE OBRA</v>
      </c>
      <c r="E169" s="215"/>
      <c r="F169" s="164"/>
      <c r="G169" s="207"/>
      <c r="H169" s="207"/>
      <c r="I169" s="238"/>
    </row>
    <row r="170" spans="1:9" ht="13.5" thickBot="1" x14ac:dyDescent="0.25">
      <c r="A170" s="250" t="str">
        <f>'MM CALC'!A167</f>
        <v>12.1</v>
      </c>
      <c r="B170" s="251" t="str">
        <f>'MM CALC'!B167</f>
        <v>SEINFRA</v>
      </c>
      <c r="C170" s="232" t="str">
        <f>'MM CALC'!C167</f>
        <v>ED-50266</v>
      </c>
      <c r="D170" s="252" t="str">
        <f>'MM CALC'!D167</f>
        <v>LIMPEZA FINAL PARA ENTREGA DA OBRA</v>
      </c>
      <c r="E170" s="253" t="str">
        <f>'MM CALC'!E167</f>
        <v>m²</v>
      </c>
      <c r="F170" s="254">
        <f>'MM CALC'!F167</f>
        <v>324</v>
      </c>
      <c r="G170" s="255"/>
      <c r="H170" s="256"/>
      <c r="I170" s="256"/>
    </row>
    <row r="171" spans="1:9" ht="13.5" thickBot="1" x14ac:dyDescent="0.25">
      <c r="A171" s="273" t="s">
        <v>571</v>
      </c>
      <c r="B171" s="274"/>
      <c r="C171" s="274"/>
      <c r="D171" s="274"/>
      <c r="E171" s="274"/>
      <c r="F171" s="274"/>
      <c r="G171" s="274"/>
      <c r="H171" s="275"/>
      <c r="I171" s="257">
        <f>I13+I25+I29+I33+I51+I107+I121+I143+I146+I152+I161+I169</f>
        <v>0</v>
      </c>
    </row>
    <row r="172" spans="1:9" x14ac:dyDescent="0.2">
      <c r="A172" s="26"/>
      <c r="D172" s="27"/>
      <c r="E172" s="58"/>
      <c r="F172" s="58"/>
      <c r="G172" s="58"/>
      <c r="H172" s="58"/>
      <c r="I172" s="59"/>
    </row>
    <row r="173" spans="1:9" x14ac:dyDescent="0.2">
      <c r="A173" s="26"/>
      <c r="D173" s="27"/>
      <c r="E173" s="58"/>
      <c r="F173" s="58"/>
      <c r="G173" s="58"/>
      <c r="H173" s="58"/>
      <c r="I173" s="59"/>
    </row>
    <row r="174" spans="1:9" x14ac:dyDescent="0.2">
      <c r="A174" s="25"/>
      <c r="B174" s="17"/>
      <c r="C174" s="17"/>
      <c r="D174" s="27"/>
      <c r="E174" s="58"/>
      <c r="F174" s="58"/>
      <c r="G174" s="58"/>
      <c r="H174" s="58"/>
      <c r="I174" s="59"/>
    </row>
    <row r="175" spans="1:9" x14ac:dyDescent="0.2">
      <c r="A175" s="260"/>
      <c r="B175" s="261"/>
      <c r="C175" s="261"/>
      <c r="D175" s="126"/>
      <c r="E175" s="64"/>
      <c r="F175" s="63"/>
      <c r="G175" s="126"/>
      <c r="H175" s="90"/>
      <c r="I175" s="59"/>
    </row>
    <row r="176" spans="1:9" x14ac:dyDescent="0.2">
      <c r="A176" s="260"/>
      <c r="B176" s="261"/>
      <c r="C176" s="261"/>
      <c r="D176" s="62"/>
      <c r="E176" s="64"/>
      <c r="F176" s="63"/>
      <c r="G176" s="91"/>
      <c r="H176" s="90"/>
      <c r="I176" s="59"/>
    </row>
    <row r="177" spans="1:9" x14ac:dyDescent="0.2">
      <c r="A177" s="262"/>
      <c r="B177" s="263"/>
      <c r="C177" s="263"/>
      <c r="D177" s="92"/>
      <c r="E177" s="64"/>
      <c r="F177" s="63"/>
      <c r="G177" s="92"/>
      <c r="H177" s="90"/>
      <c r="I177" s="59"/>
    </row>
    <row r="178" spans="1:9" x14ac:dyDescent="0.2">
      <c r="A178" s="109"/>
      <c r="B178" s="110"/>
      <c r="C178" s="110"/>
      <c r="D178" s="27"/>
      <c r="E178" s="58"/>
      <c r="F178" s="58"/>
      <c r="G178" s="58"/>
      <c r="H178" s="58"/>
      <c r="I178" s="59"/>
    </row>
    <row r="179" spans="1:9" x14ac:dyDescent="0.2">
      <c r="A179" s="22"/>
      <c r="B179" s="23"/>
      <c r="C179" s="23"/>
      <c r="D179" s="24"/>
      <c r="E179" s="60"/>
      <c r="F179" s="60"/>
      <c r="G179" s="60"/>
      <c r="H179" s="60"/>
      <c r="I179" s="61"/>
    </row>
    <row r="180" spans="1:9" x14ac:dyDescent="0.2">
      <c r="I180" s="93"/>
    </row>
  </sheetData>
  <autoFilter ref="A11:I153" xr:uid="{00000000-0009-0000-0000-000000000000}"/>
  <mergeCells count="11">
    <mergeCell ref="A3:I3"/>
    <mergeCell ref="E7:F7"/>
    <mergeCell ref="E6:I6"/>
    <mergeCell ref="G7:H8"/>
    <mergeCell ref="A7:D7"/>
    <mergeCell ref="A176:C176"/>
    <mergeCell ref="A177:C177"/>
    <mergeCell ref="A175:C175"/>
    <mergeCell ref="I7:I9"/>
    <mergeCell ref="A8:D9"/>
    <mergeCell ref="A171:H171"/>
  </mergeCells>
  <phoneticPr fontId="21" type="noConversion"/>
  <conditionalFormatting sqref="C25:C170">
    <cfRule type="expression" dxfId="0" priority="145" stopIfTrue="1">
      <formula>OR(#REF!="M",#REF!="A")</formula>
    </cfRule>
  </conditionalFormatting>
  <printOptions horizontalCentered="1"/>
  <pageMargins left="0.78740157480314965" right="0.39370078740157483" top="0.98425196850393704" bottom="0.98425196850393704" header="0.51181102362204722" footer="0.51181102362204722"/>
  <pageSetup paperSize="9" scale="99" fitToHeight="0" orientation="landscape" horizontalDpi="4294967293" r:id="rId1"/>
  <headerFooter alignWithMargins="0">
    <oddFooter>&amp;C
Página &amp;P de &amp;N</oddFooter>
  </headerFooter>
  <rowBreaks count="1" manualBreakCount="1">
    <brk id="162" max="8" man="1"/>
  </rowBreaks>
  <ignoredErrors>
    <ignoredError sqref="I2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I190"/>
  <sheetViews>
    <sheetView showGridLines="0" view="pageBreakPreview" zoomScaleNormal="75" zoomScaleSheetLayoutView="100" workbookViewId="0">
      <pane ySplit="7" topLeftCell="A164" activePane="bottomLeft" state="frozen"/>
      <selection pane="bottomLeft" activeCell="D177" sqref="D177"/>
    </sheetView>
  </sheetViews>
  <sheetFormatPr defaultColWidth="9.140625" defaultRowHeight="12.75" x14ac:dyDescent="0.2"/>
  <cols>
    <col min="1" max="1" width="7.140625" style="69" customWidth="1"/>
    <col min="2" max="2" width="10.140625" style="65" bestFit="1" customWidth="1"/>
    <col min="3" max="3" width="9.5703125" style="65" customWidth="1"/>
    <col min="4" max="4" width="60.85546875" style="14" bestFit="1" customWidth="1"/>
    <col min="5" max="5" width="7.42578125" style="65" customWidth="1"/>
    <col min="6" max="6" width="8.42578125" style="70" bestFit="1" customWidth="1"/>
    <col min="7" max="7" width="66.140625" style="19" customWidth="1"/>
    <col min="8" max="8" width="9.140625" style="129"/>
    <col min="9" max="9" width="52.5703125" style="128" bestFit="1" customWidth="1"/>
    <col min="10" max="16384" width="9.140625" style="19"/>
  </cols>
  <sheetData>
    <row r="1" spans="1:9" x14ac:dyDescent="0.2">
      <c r="A1" s="291" t="s">
        <v>55</v>
      </c>
      <c r="B1" s="292"/>
      <c r="C1" s="292"/>
      <c r="D1" s="292"/>
      <c r="E1" s="292"/>
      <c r="F1" s="292"/>
      <c r="G1" s="293"/>
    </row>
    <row r="2" spans="1:9" ht="5.0999999999999996" customHeight="1" x14ac:dyDescent="0.2">
      <c r="A2" s="66"/>
      <c r="B2" s="38"/>
      <c r="C2" s="38"/>
      <c r="D2" s="18"/>
      <c r="E2" s="38"/>
      <c r="F2" s="38"/>
      <c r="G2" s="28"/>
    </row>
    <row r="3" spans="1:9" s="13" customFormat="1" x14ac:dyDescent="0.2">
      <c r="A3" s="16" t="s">
        <v>578</v>
      </c>
      <c r="B3" s="2"/>
      <c r="C3" s="2"/>
      <c r="D3" s="71"/>
      <c r="E3" s="44" t="s">
        <v>495</v>
      </c>
      <c r="F3" s="113"/>
      <c r="G3" s="9"/>
      <c r="H3" s="129"/>
      <c r="I3" s="128"/>
    </row>
    <row r="4" spans="1:9" s="13" customFormat="1" x14ac:dyDescent="0.2">
      <c r="A4" s="16" t="s">
        <v>389</v>
      </c>
      <c r="B4" s="2"/>
      <c r="C4" s="2"/>
      <c r="D4" s="72"/>
      <c r="E4" s="2"/>
      <c r="F4" s="113"/>
      <c r="G4" s="9"/>
      <c r="H4" s="129"/>
      <c r="I4" s="128"/>
    </row>
    <row r="5" spans="1:9" s="13" customFormat="1" x14ac:dyDescent="0.2">
      <c r="A5" s="16" t="s">
        <v>579</v>
      </c>
      <c r="B5" s="2"/>
      <c r="C5" s="2"/>
      <c r="D5" s="72"/>
      <c r="E5" s="2"/>
      <c r="F5" s="2"/>
      <c r="G5" s="9"/>
      <c r="H5" s="129"/>
      <c r="I5" s="128"/>
    </row>
    <row r="6" spans="1:9" ht="5.0999999999999996" customHeight="1" x14ac:dyDescent="0.2">
      <c r="A6" s="67"/>
      <c r="B6" s="27"/>
      <c r="C6" s="27"/>
      <c r="D6" s="18"/>
      <c r="E6" s="27"/>
      <c r="F6" s="68"/>
      <c r="G6" s="28"/>
    </row>
    <row r="7" spans="1:9" s="65" customFormat="1" x14ac:dyDescent="0.2">
      <c r="A7" s="116" t="s">
        <v>0</v>
      </c>
      <c r="B7" s="101" t="s">
        <v>9</v>
      </c>
      <c r="C7" s="125" t="s">
        <v>2</v>
      </c>
      <c r="D7" s="101" t="s">
        <v>1</v>
      </c>
      <c r="E7" s="101" t="s">
        <v>6</v>
      </c>
      <c r="F7" s="123" t="s">
        <v>7</v>
      </c>
      <c r="G7" s="101" t="s">
        <v>18</v>
      </c>
      <c r="H7" s="129"/>
      <c r="I7" s="129"/>
    </row>
    <row r="8" spans="1:9" s="88" customFormat="1" ht="11.25" x14ac:dyDescent="0.2">
      <c r="A8" s="83" t="s">
        <v>36</v>
      </c>
      <c r="B8" s="84"/>
      <c r="C8" s="84"/>
      <c r="D8" s="85"/>
      <c r="E8" s="84"/>
      <c r="F8" s="86"/>
      <c r="G8" s="87"/>
      <c r="H8" s="106"/>
      <c r="I8" s="53"/>
    </row>
    <row r="9" spans="1:9" s="88" customFormat="1" ht="11.25" x14ac:dyDescent="0.2">
      <c r="A9" s="161">
        <v>1</v>
      </c>
      <c r="B9" s="148"/>
      <c r="C9" s="138"/>
      <c r="D9" s="206" t="s">
        <v>542</v>
      </c>
      <c r="E9" s="163"/>
      <c r="F9" s="164"/>
      <c r="G9" s="165"/>
      <c r="H9" s="106"/>
      <c r="I9" s="53"/>
    </row>
    <row r="10" spans="1:9" s="88" customFormat="1" ht="22.5" x14ac:dyDescent="0.2">
      <c r="A10" s="236" t="s">
        <v>11</v>
      </c>
      <c r="B10" s="183" t="s">
        <v>40</v>
      </c>
      <c r="C10" s="51" t="s">
        <v>496</v>
      </c>
      <c r="D10" s="134" t="s">
        <v>497</v>
      </c>
      <c r="E10" s="204" t="s">
        <v>309</v>
      </c>
      <c r="F10" s="208">
        <f>5/1000</f>
        <v>5.0000000000000001E-3</v>
      </c>
      <c r="G10" s="188"/>
      <c r="H10" s="106"/>
      <c r="I10" s="53"/>
    </row>
    <row r="11" spans="1:9" s="88" customFormat="1" ht="33.75" x14ac:dyDescent="0.2">
      <c r="A11" s="236" t="s">
        <v>27</v>
      </c>
      <c r="B11" s="183" t="s">
        <v>40</v>
      </c>
      <c r="C11" s="51" t="s">
        <v>311</v>
      </c>
      <c r="D11" s="134" t="s">
        <v>310</v>
      </c>
      <c r="E11" s="137" t="s">
        <v>255</v>
      </c>
      <c r="F11" s="187">
        <v>1</v>
      </c>
      <c r="G11" s="188"/>
      <c r="H11" s="106"/>
      <c r="I11" s="53"/>
    </row>
    <row r="12" spans="1:9" s="88" customFormat="1" ht="11.25" x14ac:dyDescent="0.2">
      <c r="A12" s="236" t="s">
        <v>308</v>
      </c>
      <c r="B12" s="183" t="s">
        <v>40</v>
      </c>
      <c r="C12" s="51" t="s">
        <v>543</v>
      </c>
      <c r="D12" s="134" t="s">
        <v>544</v>
      </c>
      <c r="E12" s="137" t="s">
        <v>545</v>
      </c>
      <c r="F12" s="187">
        <v>1</v>
      </c>
      <c r="G12" s="188"/>
      <c r="H12" s="106"/>
      <c r="I12" s="53"/>
    </row>
    <row r="13" spans="1:9" s="88" customFormat="1" ht="22.5" x14ac:dyDescent="0.2">
      <c r="A13" s="236" t="s">
        <v>314</v>
      </c>
      <c r="B13" s="183" t="s">
        <v>40</v>
      </c>
      <c r="C13" s="51" t="s">
        <v>552</v>
      </c>
      <c r="D13" s="134" t="s">
        <v>553</v>
      </c>
      <c r="E13" s="137" t="s">
        <v>545</v>
      </c>
      <c r="F13" s="187">
        <v>1</v>
      </c>
      <c r="G13" s="188"/>
      <c r="H13" s="106"/>
      <c r="I13" s="53"/>
    </row>
    <row r="14" spans="1:9" s="88" customFormat="1" ht="11.25" x14ac:dyDescent="0.2">
      <c r="A14" s="236" t="s">
        <v>315</v>
      </c>
      <c r="B14" s="183" t="s">
        <v>40</v>
      </c>
      <c r="C14" s="51" t="s">
        <v>546</v>
      </c>
      <c r="D14" s="134" t="s">
        <v>547</v>
      </c>
      <c r="E14" s="137" t="s">
        <v>545</v>
      </c>
      <c r="F14" s="187">
        <v>1</v>
      </c>
      <c r="G14" s="188"/>
      <c r="H14" s="106"/>
      <c r="I14" s="53"/>
    </row>
    <row r="15" spans="1:9" s="88" customFormat="1" ht="11.25" x14ac:dyDescent="0.2">
      <c r="A15" s="236" t="s">
        <v>562</v>
      </c>
      <c r="B15" s="183" t="s">
        <v>40</v>
      </c>
      <c r="C15" s="51" t="s">
        <v>548</v>
      </c>
      <c r="D15" s="134" t="s">
        <v>549</v>
      </c>
      <c r="E15" s="137" t="s">
        <v>545</v>
      </c>
      <c r="F15" s="187">
        <v>1</v>
      </c>
      <c r="G15" s="188"/>
      <c r="H15" s="106"/>
      <c r="I15" s="53"/>
    </row>
    <row r="16" spans="1:9" s="88" customFormat="1" ht="11.25" x14ac:dyDescent="0.2">
      <c r="A16" s="236" t="s">
        <v>563</v>
      </c>
      <c r="B16" s="183" t="s">
        <v>40</v>
      </c>
      <c r="C16" s="51" t="s">
        <v>550</v>
      </c>
      <c r="D16" s="134" t="s">
        <v>551</v>
      </c>
      <c r="E16" s="137" t="s">
        <v>545</v>
      </c>
      <c r="F16" s="187">
        <v>1</v>
      </c>
      <c r="G16" s="188"/>
      <c r="H16" s="106"/>
      <c r="I16" s="53"/>
    </row>
    <row r="17" spans="1:9" s="88" customFormat="1" ht="11.25" x14ac:dyDescent="0.2">
      <c r="A17" s="236" t="s">
        <v>564</v>
      </c>
      <c r="B17" s="183" t="s">
        <v>40</v>
      </c>
      <c r="C17" s="51" t="s">
        <v>554</v>
      </c>
      <c r="D17" s="134" t="s">
        <v>555</v>
      </c>
      <c r="E17" s="137" t="s">
        <v>545</v>
      </c>
      <c r="F17" s="187">
        <v>1</v>
      </c>
      <c r="G17" s="188"/>
      <c r="H17" s="106"/>
      <c r="I17" s="53"/>
    </row>
    <row r="18" spans="1:9" s="88" customFormat="1" ht="11.25" x14ac:dyDescent="0.2">
      <c r="A18" s="236" t="s">
        <v>565</v>
      </c>
      <c r="B18" s="183" t="s">
        <v>40</v>
      </c>
      <c r="C18" s="51" t="s">
        <v>556</v>
      </c>
      <c r="D18" s="134" t="s">
        <v>557</v>
      </c>
      <c r="E18" s="137" t="s">
        <v>545</v>
      </c>
      <c r="F18" s="187">
        <v>1</v>
      </c>
      <c r="G18" s="188"/>
      <c r="H18" s="106"/>
      <c r="I18" s="53"/>
    </row>
    <row r="19" spans="1:9" s="88" customFormat="1" ht="11.25" x14ac:dyDescent="0.2">
      <c r="A19" s="236" t="s">
        <v>566</v>
      </c>
      <c r="B19" s="183" t="s">
        <v>40</v>
      </c>
      <c r="C19" s="51" t="s">
        <v>558</v>
      </c>
      <c r="D19" s="134" t="s">
        <v>559</v>
      </c>
      <c r="E19" s="137" t="s">
        <v>545</v>
      </c>
      <c r="F19" s="187">
        <v>1</v>
      </c>
      <c r="G19" s="188"/>
      <c r="H19" s="106"/>
      <c r="I19" s="53"/>
    </row>
    <row r="20" spans="1:9" s="88" customFormat="1" ht="11.25" x14ac:dyDescent="0.2">
      <c r="A20" s="236" t="s">
        <v>567</v>
      </c>
      <c r="B20" s="183" t="s">
        <v>40</v>
      </c>
      <c r="C20" s="51" t="s">
        <v>560</v>
      </c>
      <c r="D20" s="134" t="s">
        <v>561</v>
      </c>
      <c r="E20" s="137" t="s">
        <v>545</v>
      </c>
      <c r="F20" s="187">
        <v>1</v>
      </c>
      <c r="G20" s="188"/>
      <c r="H20" s="106"/>
      <c r="I20" s="53"/>
    </row>
    <row r="21" spans="1:9" s="52" customFormat="1" ht="11.25" x14ac:dyDescent="0.2">
      <c r="A21" s="161">
        <v>2</v>
      </c>
      <c r="B21" s="147"/>
      <c r="C21" s="138"/>
      <c r="D21" s="174" t="s">
        <v>105</v>
      </c>
      <c r="E21" s="178"/>
      <c r="F21" s="141"/>
      <c r="G21" s="147"/>
      <c r="H21" s="106"/>
      <c r="I21" s="53"/>
    </row>
    <row r="22" spans="1:9" s="52" customFormat="1" ht="22.5" x14ac:dyDescent="0.2">
      <c r="A22" s="236" t="s">
        <v>12</v>
      </c>
      <c r="B22" s="183" t="s">
        <v>40</v>
      </c>
      <c r="C22" s="198" t="s">
        <v>307</v>
      </c>
      <c r="D22" s="197" t="s">
        <v>306</v>
      </c>
      <c r="E22" s="217" t="s">
        <v>31</v>
      </c>
      <c r="F22" s="225">
        <v>324</v>
      </c>
      <c r="G22" s="137"/>
      <c r="H22" s="106"/>
      <c r="I22" s="53"/>
    </row>
    <row r="23" spans="1:9" s="88" customFormat="1" ht="67.5" x14ac:dyDescent="0.2">
      <c r="A23" s="236" t="s">
        <v>57</v>
      </c>
      <c r="B23" s="183" t="s">
        <v>40</v>
      </c>
      <c r="C23" s="183" t="s">
        <v>248</v>
      </c>
      <c r="D23" s="226" t="s">
        <v>247</v>
      </c>
      <c r="E23" s="184" t="s">
        <v>166</v>
      </c>
      <c r="F23" s="185">
        <v>1</v>
      </c>
      <c r="G23" s="227" t="s">
        <v>146</v>
      </c>
      <c r="H23" s="106"/>
      <c r="I23" s="53"/>
    </row>
    <row r="24" spans="1:9" s="88" customFormat="1" ht="45" x14ac:dyDescent="0.2">
      <c r="A24" s="236" t="s">
        <v>58</v>
      </c>
      <c r="B24" s="183" t="s">
        <v>40</v>
      </c>
      <c r="C24" s="183" t="s">
        <v>250</v>
      </c>
      <c r="D24" s="226" t="s">
        <v>249</v>
      </c>
      <c r="E24" s="184" t="s">
        <v>167</v>
      </c>
      <c r="F24" s="185">
        <f>(15+9.15+15+9.15)</f>
        <v>48.3</v>
      </c>
      <c r="G24" s="214" t="s">
        <v>390</v>
      </c>
      <c r="H24" s="106"/>
      <c r="I24" s="53"/>
    </row>
    <row r="25" spans="1:9" s="52" customFormat="1" ht="11.25" x14ac:dyDescent="0.2">
      <c r="A25" s="161">
        <v>3</v>
      </c>
      <c r="B25" s="147"/>
      <c r="C25" s="138"/>
      <c r="D25" s="174" t="s">
        <v>106</v>
      </c>
      <c r="E25" s="178"/>
      <c r="F25" s="164"/>
      <c r="G25" s="179"/>
      <c r="H25" s="106"/>
      <c r="I25" s="53"/>
    </row>
    <row r="26" spans="1:9" s="88" customFormat="1" ht="45" x14ac:dyDescent="0.2">
      <c r="A26" s="136" t="s">
        <v>13</v>
      </c>
      <c r="B26" s="183" t="s">
        <v>40</v>
      </c>
      <c r="C26" s="183" t="s">
        <v>46</v>
      </c>
      <c r="D26" s="226" t="s">
        <v>107</v>
      </c>
      <c r="E26" s="184" t="s">
        <v>33</v>
      </c>
      <c r="F26" s="185">
        <f>(((3.3+6.6+3.25+3.3+8+8+8+6.1+9.55+2.45+2.65+11.05+4.25+8.6+6.9)*0.25 *0.35)+(0.8*0.8*1*18))</f>
        <v>19.570000000000004</v>
      </c>
      <c r="G26" s="186" t="s">
        <v>488</v>
      </c>
      <c r="H26" s="106"/>
      <c r="I26" s="53"/>
    </row>
    <row r="27" spans="1:9" s="88" customFormat="1" ht="22.5" x14ac:dyDescent="0.2">
      <c r="A27" s="136" t="s">
        <v>35</v>
      </c>
      <c r="B27" s="183" t="s">
        <v>40</v>
      </c>
      <c r="C27" s="183" t="s">
        <v>47</v>
      </c>
      <c r="D27" s="226" t="s">
        <v>32</v>
      </c>
      <c r="E27" s="184" t="s">
        <v>31</v>
      </c>
      <c r="F27" s="185">
        <f>((92 *0.25)+(0.8*0.8*18))</f>
        <v>34.520000000000003</v>
      </c>
      <c r="G27" s="186" t="s">
        <v>489</v>
      </c>
      <c r="H27" s="106"/>
      <c r="I27" s="53"/>
    </row>
    <row r="28" spans="1:9" s="88" customFormat="1" ht="33.75" x14ac:dyDescent="0.2">
      <c r="A28" s="136" t="s">
        <v>59</v>
      </c>
      <c r="B28" s="183" t="s">
        <v>40</v>
      </c>
      <c r="C28" s="183" t="s">
        <v>82</v>
      </c>
      <c r="D28" s="218" t="s">
        <v>386</v>
      </c>
      <c r="E28" s="184" t="s">
        <v>33</v>
      </c>
      <c r="F28" s="185">
        <f>F26-F31-F33-F36</f>
        <v>9.5244000000000035</v>
      </c>
      <c r="G28" s="186" t="s">
        <v>190</v>
      </c>
      <c r="H28" s="106"/>
      <c r="I28" s="53"/>
    </row>
    <row r="29" spans="1:9" s="52" customFormat="1" ht="11.25" x14ac:dyDescent="0.2">
      <c r="A29" s="161">
        <v>4</v>
      </c>
      <c r="B29" s="147"/>
      <c r="C29" s="138"/>
      <c r="D29" s="174" t="s">
        <v>108</v>
      </c>
      <c r="E29" s="178"/>
      <c r="F29" s="164"/>
      <c r="G29" s="165"/>
      <c r="H29" s="106"/>
      <c r="I29" s="53"/>
    </row>
    <row r="30" spans="1:9" s="52" customFormat="1" ht="11.25" x14ac:dyDescent="0.2">
      <c r="A30" s="161" t="s">
        <v>10</v>
      </c>
      <c r="B30" s="147"/>
      <c r="C30" s="138"/>
      <c r="D30" s="174" t="s">
        <v>109</v>
      </c>
      <c r="E30" s="178"/>
      <c r="F30" s="164"/>
      <c r="G30" s="165"/>
      <c r="H30" s="106"/>
      <c r="I30" s="53"/>
    </row>
    <row r="31" spans="1:9" s="88" customFormat="1" ht="22.5" x14ac:dyDescent="0.2">
      <c r="A31" s="136" t="s">
        <v>60</v>
      </c>
      <c r="B31" s="183" t="s">
        <v>40</v>
      </c>
      <c r="C31" s="183" t="s">
        <v>43</v>
      </c>
      <c r="D31" s="226" t="s">
        <v>44</v>
      </c>
      <c r="E31" s="184" t="s">
        <v>33</v>
      </c>
      <c r="F31" s="185">
        <f>((92*0.25*0.05)+(0.8*0.8*18*0.05))</f>
        <v>1.7260000000000004</v>
      </c>
      <c r="G31" s="186" t="s">
        <v>490</v>
      </c>
      <c r="H31" s="106"/>
      <c r="I31" s="53"/>
    </row>
    <row r="32" spans="1:9" s="88" customFormat="1" ht="22.5" x14ac:dyDescent="0.2">
      <c r="A32" s="136" t="s">
        <v>61</v>
      </c>
      <c r="B32" s="183" t="s">
        <v>40</v>
      </c>
      <c r="C32" s="183" t="s">
        <v>48</v>
      </c>
      <c r="D32" s="226" t="s">
        <v>110</v>
      </c>
      <c r="E32" s="184" t="s">
        <v>31</v>
      </c>
      <c r="F32" s="185">
        <f>((((0.12+0.3+0.12+0.3)*18)*0.45)+(((0.6+0.6+0.6+0.6)*0.6)*18))</f>
        <v>32.723999999999997</v>
      </c>
      <c r="G32" s="186" t="s">
        <v>392</v>
      </c>
      <c r="H32" s="106"/>
      <c r="I32" s="53"/>
    </row>
    <row r="33" spans="1:9" s="88" customFormat="1" ht="33.75" x14ac:dyDescent="0.2">
      <c r="A33" s="136" t="s">
        <v>62</v>
      </c>
      <c r="B33" s="183" t="s">
        <v>40</v>
      </c>
      <c r="C33" s="183" t="s">
        <v>83</v>
      </c>
      <c r="D33" s="226" t="s">
        <v>197</v>
      </c>
      <c r="E33" s="184" t="s">
        <v>33</v>
      </c>
      <c r="F33" s="185">
        <f>((0.6*0.6*0.6*18)+(0.12*0.3*18*0.45))</f>
        <v>4.1795999999999998</v>
      </c>
      <c r="G33" s="186" t="s">
        <v>391</v>
      </c>
      <c r="H33" s="106"/>
      <c r="I33" s="53"/>
    </row>
    <row r="34" spans="1:9" s="88" customFormat="1" ht="11.25" x14ac:dyDescent="0.2">
      <c r="A34" s="136" t="s">
        <v>63</v>
      </c>
      <c r="B34" s="183" t="s">
        <v>40</v>
      </c>
      <c r="C34" s="183" t="s">
        <v>147</v>
      </c>
      <c r="D34" s="226" t="s">
        <v>148</v>
      </c>
      <c r="E34" s="184" t="s">
        <v>149</v>
      </c>
      <c r="F34" s="185" t="e">
        <f>#REF!</f>
        <v>#REF!</v>
      </c>
      <c r="G34" s="186" t="s">
        <v>208</v>
      </c>
      <c r="H34" s="106"/>
      <c r="I34" s="53"/>
    </row>
    <row r="35" spans="1:9" s="52" customFormat="1" ht="11.25" x14ac:dyDescent="0.2">
      <c r="A35" s="161" t="s">
        <v>28</v>
      </c>
      <c r="B35" s="147"/>
      <c r="C35" s="138"/>
      <c r="D35" s="174" t="s">
        <v>112</v>
      </c>
      <c r="E35" s="178"/>
      <c r="F35" s="164"/>
      <c r="G35" s="165"/>
      <c r="H35" s="106"/>
      <c r="I35" s="53"/>
    </row>
    <row r="36" spans="1:9" s="88" customFormat="1" ht="33.75" x14ac:dyDescent="0.2">
      <c r="A36" s="136" t="s">
        <v>64</v>
      </c>
      <c r="B36" s="183" t="s">
        <v>40</v>
      </c>
      <c r="C36" s="183" t="s">
        <v>83</v>
      </c>
      <c r="D36" s="226" t="s">
        <v>111</v>
      </c>
      <c r="E36" s="184" t="s">
        <v>33</v>
      </c>
      <c r="F36" s="185">
        <f>92*0.3*0.15</f>
        <v>4.1399999999999997</v>
      </c>
      <c r="G36" s="186" t="s">
        <v>491</v>
      </c>
      <c r="H36" s="106"/>
      <c r="I36" s="53"/>
    </row>
    <row r="37" spans="1:9" s="88" customFormat="1" ht="22.5" x14ac:dyDescent="0.2">
      <c r="A37" s="136" t="s">
        <v>65</v>
      </c>
      <c r="B37" s="183" t="s">
        <v>40</v>
      </c>
      <c r="C37" s="183" t="s">
        <v>48</v>
      </c>
      <c r="D37" s="226" t="s">
        <v>110</v>
      </c>
      <c r="E37" s="184" t="s">
        <v>31</v>
      </c>
      <c r="F37" s="185">
        <f>92*0.3*2</f>
        <v>55.199999999999996</v>
      </c>
      <c r="G37" s="186" t="s">
        <v>492</v>
      </c>
      <c r="H37" s="106"/>
      <c r="I37" s="53"/>
    </row>
    <row r="38" spans="1:9" s="88" customFormat="1" ht="11.25" x14ac:dyDescent="0.2">
      <c r="A38" s="136" t="s">
        <v>66</v>
      </c>
      <c r="B38" s="183" t="s">
        <v>40</v>
      </c>
      <c r="C38" s="183" t="s">
        <v>147</v>
      </c>
      <c r="D38" s="226" t="s">
        <v>148</v>
      </c>
      <c r="E38" s="184" t="s">
        <v>149</v>
      </c>
      <c r="F38" s="185" t="e">
        <f>#REF!</f>
        <v>#REF!</v>
      </c>
      <c r="G38" s="186" t="s">
        <v>208</v>
      </c>
      <c r="H38" s="106"/>
      <c r="I38" s="53"/>
    </row>
    <row r="39" spans="1:9" s="52" customFormat="1" ht="11.25" x14ac:dyDescent="0.2">
      <c r="A39" s="161" t="s">
        <v>29</v>
      </c>
      <c r="B39" s="147"/>
      <c r="C39" s="138"/>
      <c r="D39" s="174" t="s">
        <v>151</v>
      </c>
      <c r="E39" s="178"/>
      <c r="F39" s="164"/>
      <c r="G39" s="165"/>
      <c r="H39" s="106"/>
      <c r="I39" s="53"/>
    </row>
    <row r="40" spans="1:9" s="88" customFormat="1" ht="22.5" x14ac:dyDescent="0.2">
      <c r="A40" s="136" t="s">
        <v>67</v>
      </c>
      <c r="B40" s="183" t="s">
        <v>40</v>
      </c>
      <c r="C40" s="183" t="s">
        <v>84</v>
      </c>
      <c r="D40" s="228" t="s">
        <v>113</v>
      </c>
      <c r="E40" s="184" t="s">
        <v>31</v>
      </c>
      <c r="F40" s="185">
        <f>((92*0.3*2)+(((0.12+0.3+0.12+0.3)*3.48)*18))</f>
        <v>107.8176</v>
      </c>
      <c r="G40" s="186" t="s">
        <v>493</v>
      </c>
      <c r="H40" s="106"/>
      <c r="I40" s="53"/>
    </row>
    <row r="41" spans="1:9" s="88" customFormat="1" ht="22.5" x14ac:dyDescent="0.2">
      <c r="A41" s="136" t="s">
        <v>68</v>
      </c>
      <c r="B41" s="183" t="s">
        <v>40</v>
      </c>
      <c r="C41" s="183" t="s">
        <v>41</v>
      </c>
      <c r="D41" s="228" t="s">
        <v>114</v>
      </c>
      <c r="E41" s="184" t="s">
        <v>33</v>
      </c>
      <c r="F41" s="185">
        <f>((92*0.3*0.12)+(0.12*0.3*3.48*18))</f>
        <v>5.5670400000000004</v>
      </c>
      <c r="G41" s="186" t="s">
        <v>494</v>
      </c>
      <c r="H41" s="106"/>
      <c r="I41" s="53"/>
    </row>
    <row r="42" spans="1:9" s="88" customFormat="1" ht="11.25" x14ac:dyDescent="0.2">
      <c r="A42" s="136" t="s">
        <v>205</v>
      </c>
      <c r="B42" s="183" t="s">
        <v>40</v>
      </c>
      <c r="C42" s="183" t="s">
        <v>147</v>
      </c>
      <c r="D42" s="226" t="s">
        <v>148</v>
      </c>
      <c r="E42" s="184" t="s">
        <v>149</v>
      </c>
      <c r="F42" s="185" t="e">
        <f>#REF!</f>
        <v>#REF!</v>
      </c>
      <c r="G42" s="186" t="s">
        <v>208</v>
      </c>
      <c r="H42" s="106"/>
      <c r="I42" s="53"/>
    </row>
    <row r="43" spans="1:9" s="52" customFormat="1" ht="11.25" x14ac:dyDescent="0.2">
      <c r="A43" s="161" t="s">
        <v>37</v>
      </c>
      <c r="B43" s="147"/>
      <c r="C43" s="138"/>
      <c r="D43" s="167" t="s">
        <v>150</v>
      </c>
      <c r="E43" s="168"/>
      <c r="F43" s="164"/>
      <c r="G43" s="165"/>
      <c r="H43" s="106"/>
      <c r="I43" s="53"/>
    </row>
    <row r="44" spans="1:9" s="88" customFormat="1" ht="22.5" x14ac:dyDescent="0.2">
      <c r="A44" s="136" t="s">
        <v>69</v>
      </c>
      <c r="B44" s="183" t="s">
        <v>40</v>
      </c>
      <c r="C44" s="183" t="s">
        <v>153</v>
      </c>
      <c r="D44" s="228" t="s">
        <v>152</v>
      </c>
      <c r="E44" s="229" t="s">
        <v>31</v>
      </c>
      <c r="F44" s="185">
        <f>78.22+6.73</f>
        <v>84.95</v>
      </c>
      <c r="G44" s="186" t="s">
        <v>400</v>
      </c>
      <c r="H44" s="106"/>
      <c r="I44" s="53"/>
    </row>
    <row r="45" spans="1:9" s="88" customFormat="1" ht="33.75" x14ac:dyDescent="0.2">
      <c r="A45" s="136" t="s">
        <v>70</v>
      </c>
      <c r="B45" s="183" t="s">
        <v>40</v>
      </c>
      <c r="C45" s="230" t="s">
        <v>211</v>
      </c>
      <c r="D45" s="181" t="s">
        <v>212</v>
      </c>
      <c r="E45" s="198" t="s">
        <v>213</v>
      </c>
      <c r="F45" s="185">
        <f>F44</f>
        <v>84.95</v>
      </c>
      <c r="G45" s="186" t="s">
        <v>400</v>
      </c>
      <c r="H45" s="106"/>
      <c r="I45" s="53"/>
    </row>
    <row r="46" spans="1:9" s="88" customFormat="1" ht="11.25" x14ac:dyDescent="0.2">
      <c r="A46" s="136" t="s">
        <v>71</v>
      </c>
      <c r="B46" s="183" t="s">
        <v>40</v>
      </c>
      <c r="C46" s="183" t="s">
        <v>147</v>
      </c>
      <c r="D46" s="226" t="s">
        <v>148</v>
      </c>
      <c r="E46" s="184" t="s">
        <v>149</v>
      </c>
      <c r="F46" s="185" t="e">
        <f>#REF!</f>
        <v>#REF!</v>
      </c>
      <c r="G46" s="186" t="s">
        <v>207</v>
      </c>
      <c r="H46" s="106"/>
      <c r="I46" s="53"/>
    </row>
    <row r="47" spans="1:9" s="52" customFormat="1" ht="11.25" x14ac:dyDescent="0.2">
      <c r="A47" s="161">
        <v>5</v>
      </c>
      <c r="B47" s="147"/>
      <c r="C47" s="138"/>
      <c r="D47" s="174" t="s">
        <v>115</v>
      </c>
      <c r="E47" s="178"/>
      <c r="F47" s="164"/>
      <c r="G47" s="165"/>
      <c r="H47" s="106"/>
      <c r="I47" s="53"/>
    </row>
    <row r="48" spans="1:9" s="52" customFormat="1" ht="11.25" x14ac:dyDescent="0.2">
      <c r="A48" s="161" t="s">
        <v>21</v>
      </c>
      <c r="B48" s="147"/>
      <c r="C48" s="138"/>
      <c r="D48" s="174" t="s">
        <v>116</v>
      </c>
      <c r="E48" s="178"/>
      <c r="F48" s="164"/>
      <c r="G48" s="165"/>
      <c r="H48" s="106"/>
      <c r="I48" s="53"/>
    </row>
    <row r="49" spans="1:9" s="88" customFormat="1" ht="67.5" x14ac:dyDescent="0.2">
      <c r="A49" s="136" t="s">
        <v>317</v>
      </c>
      <c r="B49" s="183" t="s">
        <v>40</v>
      </c>
      <c r="C49" s="183" t="s">
        <v>85</v>
      </c>
      <c r="D49" s="228" t="s">
        <v>154</v>
      </c>
      <c r="E49" s="229" t="s">
        <v>31</v>
      </c>
      <c r="F49" s="185">
        <f>(((9.7*3)-(1.2*1*2))+((11.2*3)-(0.8*2.1*3)-(0.6*0.6)+((8.6*3)-(0.6*0.6*2)-(1.2*1*2))+((2.45*3)-(0.8*2.1)-(0.06*0.6))+((2.3*3)-(1*1))+(3.3*3)+((8*3)-(0.8*2.1)-(1.5*2.7))+((7.85*3)-(0.8*2.1)-(0.6*0.6))+((2.65*3)-(0.8*2.1))+(1.95*3)+(3.1*3*2)+((6.65*3)-(0.8*2.1)-(1.2*1))+(3.4*3)+(0.93*3)+((3.6+10.2+8.5+5.1+1.5+4.3)*1.3)+((1.65+1.65+3.1+3.1)*2)))</f>
        <v>261.73399999999998</v>
      </c>
      <c r="G49" s="186" t="s">
        <v>393</v>
      </c>
      <c r="H49" s="106"/>
      <c r="I49" s="53"/>
    </row>
    <row r="50" spans="1:9" s="88" customFormat="1" ht="33.75" x14ac:dyDescent="0.2">
      <c r="A50" s="136" t="s">
        <v>318</v>
      </c>
      <c r="B50" s="183" t="s">
        <v>40</v>
      </c>
      <c r="C50" s="183" t="s">
        <v>51</v>
      </c>
      <c r="D50" s="228" t="s">
        <v>117</v>
      </c>
      <c r="E50" s="229" t="s">
        <v>31</v>
      </c>
      <c r="F50" s="225">
        <f>(261.73*2)</f>
        <v>523.46</v>
      </c>
      <c r="G50" s="186" t="s">
        <v>394</v>
      </c>
      <c r="H50" s="106"/>
      <c r="I50" s="53"/>
    </row>
    <row r="51" spans="1:9" s="88" customFormat="1" ht="33.75" x14ac:dyDescent="0.2">
      <c r="A51" s="136" t="s">
        <v>319</v>
      </c>
      <c r="B51" s="183" t="s">
        <v>40</v>
      </c>
      <c r="C51" s="183" t="s">
        <v>86</v>
      </c>
      <c r="D51" s="228" t="s">
        <v>118</v>
      </c>
      <c r="E51" s="229" t="s">
        <v>31</v>
      </c>
      <c r="F51" s="185">
        <f>F50</f>
        <v>523.46</v>
      </c>
      <c r="G51" s="186" t="s">
        <v>155</v>
      </c>
      <c r="H51" s="106"/>
      <c r="I51" s="53"/>
    </row>
    <row r="52" spans="1:9" s="88" customFormat="1" ht="22.5" x14ac:dyDescent="0.2">
      <c r="A52" s="136" t="s">
        <v>320</v>
      </c>
      <c r="B52" s="183" t="s">
        <v>40</v>
      </c>
      <c r="C52" s="183" t="s">
        <v>87</v>
      </c>
      <c r="D52" s="228" t="s">
        <v>119</v>
      </c>
      <c r="E52" s="229" t="s">
        <v>31</v>
      </c>
      <c r="F52" s="185">
        <f>F44</f>
        <v>84.95</v>
      </c>
      <c r="G52" s="186" t="s">
        <v>400</v>
      </c>
      <c r="H52" s="106"/>
      <c r="I52" s="53"/>
    </row>
    <row r="53" spans="1:9" s="88" customFormat="1" ht="33.75" x14ac:dyDescent="0.2">
      <c r="A53" s="136" t="s">
        <v>321</v>
      </c>
      <c r="B53" s="183" t="s">
        <v>40</v>
      </c>
      <c r="C53" s="183" t="s">
        <v>88</v>
      </c>
      <c r="D53" s="228" t="s">
        <v>120</v>
      </c>
      <c r="E53" s="229" t="s">
        <v>31</v>
      </c>
      <c r="F53" s="185">
        <f>F52</f>
        <v>84.95</v>
      </c>
      <c r="G53" s="186" t="s">
        <v>400</v>
      </c>
      <c r="H53" s="106"/>
      <c r="I53" s="53"/>
    </row>
    <row r="54" spans="1:9" s="88" customFormat="1" ht="45" x14ac:dyDescent="0.2">
      <c r="A54" s="136" t="s">
        <v>574</v>
      </c>
      <c r="B54" s="183" t="s">
        <v>40</v>
      </c>
      <c r="C54" s="183" t="s">
        <v>573</v>
      </c>
      <c r="D54" s="228" t="s">
        <v>575</v>
      </c>
      <c r="E54" s="229" t="s">
        <v>167</v>
      </c>
      <c r="F54" s="185">
        <f>30.47+12+27</f>
        <v>69.47</v>
      </c>
      <c r="G54" s="186" t="s">
        <v>576</v>
      </c>
      <c r="H54" s="106"/>
      <c r="I54" s="53"/>
    </row>
    <row r="55" spans="1:9" s="88" customFormat="1" ht="11.25" x14ac:dyDescent="0.2">
      <c r="A55" s="171" t="s">
        <v>22</v>
      </c>
      <c r="B55" s="172"/>
      <c r="C55" s="173"/>
      <c r="D55" s="174" t="s">
        <v>121</v>
      </c>
      <c r="E55" s="175"/>
      <c r="F55" s="176"/>
      <c r="G55" s="177"/>
      <c r="H55" s="106"/>
      <c r="I55" s="53"/>
    </row>
    <row r="56" spans="1:9" s="88" customFormat="1" ht="22.5" x14ac:dyDescent="0.2">
      <c r="A56" s="136" t="s">
        <v>322</v>
      </c>
      <c r="B56" s="183" t="s">
        <v>40</v>
      </c>
      <c r="C56" s="183" t="s">
        <v>43</v>
      </c>
      <c r="D56" s="226" t="s">
        <v>44</v>
      </c>
      <c r="E56" s="184" t="s">
        <v>33</v>
      </c>
      <c r="F56" s="185">
        <f>((5.2+6.9+3.34+3.68+3.34+4.88+2.65+7.75+3.58+4.19+7.61+5.58+8.68+4.19)*0.03)</f>
        <v>2.1470999999999996</v>
      </c>
      <c r="G56" s="186" t="s">
        <v>396</v>
      </c>
      <c r="H56" s="106"/>
      <c r="I56" s="53"/>
    </row>
    <row r="57" spans="1:9" s="88" customFormat="1" ht="56.25" x14ac:dyDescent="0.2">
      <c r="A57" s="136" t="s">
        <v>323</v>
      </c>
      <c r="B57" s="183" t="s">
        <v>40</v>
      </c>
      <c r="C57" s="51" t="s">
        <v>387</v>
      </c>
      <c r="D57" s="216" t="s">
        <v>388</v>
      </c>
      <c r="E57" s="229" t="s">
        <v>31</v>
      </c>
      <c r="F57" s="185">
        <f>(5.2+6.9+3.34+3.68+3.34+4.88+2.65+7.75+3.58+4.19+7.61+5.58+8.68+4.19)+194.18</f>
        <v>265.75</v>
      </c>
      <c r="G57" s="186" t="s">
        <v>521</v>
      </c>
      <c r="H57" s="106"/>
      <c r="I57" s="53"/>
    </row>
    <row r="58" spans="1:9" s="88" customFormat="1" ht="33.75" x14ac:dyDescent="0.2">
      <c r="A58" s="136" t="s">
        <v>324</v>
      </c>
      <c r="B58" s="183" t="s">
        <v>40</v>
      </c>
      <c r="C58" s="183" t="s">
        <v>83</v>
      </c>
      <c r="D58" s="228" t="s">
        <v>520</v>
      </c>
      <c r="E58" s="229" t="s">
        <v>33</v>
      </c>
      <c r="F58" s="185">
        <f>((5.2+6.9+3.34+3.68+3.34+4.88+2.65+7.75+3.58+4.19+7.61+5.58+8.68+4.19)*0.05)</f>
        <v>3.5785</v>
      </c>
      <c r="G58" s="186" t="s">
        <v>397</v>
      </c>
      <c r="H58" s="106"/>
      <c r="I58" s="53"/>
    </row>
    <row r="59" spans="1:9" s="88" customFormat="1" ht="22.5" x14ac:dyDescent="0.2">
      <c r="A59" s="136" t="s">
        <v>325</v>
      </c>
      <c r="B59" s="183" t="s">
        <v>40</v>
      </c>
      <c r="C59" s="183" t="s">
        <v>198</v>
      </c>
      <c r="D59" s="228" t="s">
        <v>199</v>
      </c>
      <c r="E59" s="229" t="s">
        <v>31</v>
      </c>
      <c r="F59" s="185">
        <f>(5.2+6.9+3.34+3.68+3.34+4.88+2.65+7.75+3.58+4.19+7.61+5.58+8.68+4.19)</f>
        <v>71.569999999999993</v>
      </c>
      <c r="G59" s="186" t="s">
        <v>395</v>
      </c>
      <c r="H59" s="106"/>
      <c r="I59" s="53"/>
    </row>
    <row r="60" spans="1:9" s="88" customFormat="1" ht="45" x14ac:dyDescent="0.2">
      <c r="A60" s="136" t="s">
        <v>326</v>
      </c>
      <c r="B60" s="183" t="s">
        <v>40</v>
      </c>
      <c r="C60" s="183" t="s">
        <v>529</v>
      </c>
      <c r="D60" s="228" t="s">
        <v>530</v>
      </c>
      <c r="E60" s="229" t="s">
        <v>31</v>
      </c>
      <c r="F60" s="185">
        <f>((5.2+6.9+3.34+3.68+3.34+4.88+2.65+7.75+3.58+4.19+7.61+5.58+8.68+4.19)*1.2)</f>
        <v>85.883999999999986</v>
      </c>
      <c r="G60" s="186" t="s">
        <v>531</v>
      </c>
      <c r="H60" s="106"/>
      <c r="I60" s="53"/>
    </row>
    <row r="61" spans="1:9" s="88" customFormat="1" ht="90" x14ac:dyDescent="0.2">
      <c r="A61" s="136" t="s">
        <v>327</v>
      </c>
      <c r="B61" s="183" t="s">
        <v>40</v>
      </c>
      <c r="C61" s="230" t="s">
        <v>89</v>
      </c>
      <c r="D61" s="228" t="s">
        <v>122</v>
      </c>
      <c r="E61" s="229" t="s">
        <v>31</v>
      </c>
      <c r="F61" s="185">
        <f>(2.3*3)+(1.45*3)+(1.45*3)+((2.3*3)-(0.8*2.1)-(0.6*0.6))+((2.3*3)-(0.6*0.6))+(1.45*3)+((1.45*3)-(0.8*2.1))+(((2.3*3)-(1*1))*2)+((3*3)-(0.6*0.6))+(2.3*3)+((3*3)-(0.8*2.1))+(3.15*3)+(1.65*3)+((3.15*3)-(0.8*2.1))+((2.46*3)-(1.2*1))+((1.35*3)-(0.6*0.6))+(3.1*3)+(3.1*3)+((1.35*3)-(0.8*2.1))+((1.35*3)-(0.6*0.6))+(3.1*3)+(3.1*3)+((1.35*3)-(0.8*2.1))</f>
        <v>146.35000000000002</v>
      </c>
      <c r="G61" s="186" t="s">
        <v>398</v>
      </c>
      <c r="H61" s="106"/>
      <c r="I61" s="53"/>
    </row>
    <row r="62" spans="1:9" s="88" customFormat="1" ht="33.75" x14ac:dyDescent="0.2">
      <c r="A62" s="136" t="s">
        <v>328</v>
      </c>
      <c r="B62" s="183" t="s">
        <v>40</v>
      </c>
      <c r="C62" s="230" t="s">
        <v>522</v>
      </c>
      <c r="D62" s="228" t="s">
        <v>524</v>
      </c>
      <c r="E62" s="229" t="s">
        <v>33</v>
      </c>
      <c r="F62" s="185">
        <f>(((6*6)+(5*12)+(7.85*1.65)+((9.7+2.73)*3)+((2.65+0.6)*0.6)+(1.5*0.6)+(3.4*0.6)+(6.55*1.35)+(6*5.7))*(0.08))</f>
        <v>15.534000000000001</v>
      </c>
      <c r="G62" s="186" t="s">
        <v>523</v>
      </c>
      <c r="H62" s="106"/>
      <c r="I62" s="53"/>
    </row>
    <row r="63" spans="1:9" s="88" customFormat="1" ht="33.75" x14ac:dyDescent="0.2">
      <c r="A63" s="136" t="s">
        <v>329</v>
      </c>
      <c r="B63" s="183" t="s">
        <v>40</v>
      </c>
      <c r="C63" s="230" t="s">
        <v>525</v>
      </c>
      <c r="D63" s="228" t="s">
        <v>526</v>
      </c>
      <c r="E63" s="229" t="s">
        <v>31</v>
      </c>
      <c r="F63" s="185">
        <v>194.18</v>
      </c>
      <c r="G63" s="186" t="s">
        <v>527</v>
      </c>
      <c r="H63" s="106"/>
      <c r="I63" s="53"/>
    </row>
    <row r="64" spans="1:9" s="88" customFormat="1" ht="11.25" x14ac:dyDescent="0.2">
      <c r="A64" s="136" t="s">
        <v>528</v>
      </c>
      <c r="B64" s="183" t="s">
        <v>40</v>
      </c>
      <c r="C64" s="230" t="s">
        <v>532</v>
      </c>
      <c r="D64" s="228" t="s">
        <v>533</v>
      </c>
      <c r="E64" s="229" t="s">
        <v>31</v>
      </c>
      <c r="F64" s="185">
        <f>((14+27)*2)</f>
        <v>82</v>
      </c>
      <c r="G64" s="223" t="s">
        <v>577</v>
      </c>
      <c r="H64" s="106"/>
      <c r="I64" s="53"/>
    </row>
    <row r="65" spans="1:9" s="52" customFormat="1" ht="11.25" x14ac:dyDescent="0.2">
      <c r="A65" s="161" t="s">
        <v>38</v>
      </c>
      <c r="B65" s="147"/>
      <c r="C65" s="161"/>
      <c r="D65" s="167" t="s">
        <v>123</v>
      </c>
      <c r="E65" s="168"/>
      <c r="F65" s="164"/>
      <c r="G65" s="165"/>
      <c r="H65" s="106"/>
      <c r="I65" s="53"/>
    </row>
    <row r="66" spans="1:9" s="88" customFormat="1" ht="22.5" x14ac:dyDescent="0.2">
      <c r="A66" s="136" t="s">
        <v>330</v>
      </c>
      <c r="B66" s="183" t="s">
        <v>40</v>
      </c>
      <c r="C66" s="136" t="s">
        <v>201</v>
      </c>
      <c r="D66" s="228" t="s">
        <v>202</v>
      </c>
      <c r="E66" s="229" t="s">
        <v>31</v>
      </c>
      <c r="F66" s="185">
        <f>F51-F61</f>
        <v>377.11</v>
      </c>
      <c r="G66" s="186" t="s">
        <v>399</v>
      </c>
      <c r="H66" s="106"/>
      <c r="I66" s="53"/>
    </row>
    <row r="67" spans="1:9" s="88" customFormat="1" ht="22.5" x14ac:dyDescent="0.2">
      <c r="A67" s="136" t="s">
        <v>331</v>
      </c>
      <c r="B67" s="183" t="s">
        <v>40</v>
      </c>
      <c r="C67" s="136" t="s">
        <v>534</v>
      </c>
      <c r="D67" s="228" t="s">
        <v>535</v>
      </c>
      <c r="E67" s="229" t="s">
        <v>31</v>
      </c>
      <c r="F67" s="185">
        <f>F66</f>
        <v>377.11</v>
      </c>
      <c r="G67" s="186" t="s">
        <v>399</v>
      </c>
      <c r="H67" s="106"/>
      <c r="I67" s="53"/>
    </row>
    <row r="68" spans="1:9" s="88" customFormat="1" ht="22.5" x14ac:dyDescent="0.2">
      <c r="A68" s="136" t="s">
        <v>332</v>
      </c>
      <c r="B68" s="183" t="s">
        <v>40</v>
      </c>
      <c r="C68" s="136" t="s">
        <v>203</v>
      </c>
      <c r="D68" s="228" t="s">
        <v>204</v>
      </c>
      <c r="E68" s="229" t="s">
        <v>31</v>
      </c>
      <c r="F68" s="185">
        <f>F53</f>
        <v>84.95</v>
      </c>
      <c r="G68" s="186" t="s">
        <v>400</v>
      </c>
      <c r="H68" s="106"/>
      <c r="I68" s="53"/>
    </row>
    <row r="69" spans="1:9" s="88" customFormat="1" ht="22.5" x14ac:dyDescent="0.2">
      <c r="A69" s="136" t="s">
        <v>333</v>
      </c>
      <c r="B69" s="183" t="s">
        <v>40</v>
      </c>
      <c r="C69" s="136" t="s">
        <v>536</v>
      </c>
      <c r="D69" s="244" t="s">
        <v>537</v>
      </c>
      <c r="E69" s="229" t="s">
        <v>31</v>
      </c>
      <c r="F69" s="185">
        <f>F68</f>
        <v>84.95</v>
      </c>
      <c r="G69" s="186" t="s">
        <v>400</v>
      </c>
      <c r="H69" s="106"/>
      <c r="I69" s="53"/>
    </row>
    <row r="70" spans="1:9" s="88" customFormat="1" ht="22.5" x14ac:dyDescent="0.2">
      <c r="A70" s="136" t="s">
        <v>538</v>
      </c>
      <c r="B70" s="183" t="s">
        <v>40</v>
      </c>
      <c r="C70" s="136" t="s">
        <v>90</v>
      </c>
      <c r="D70" s="222" t="s">
        <v>251</v>
      </c>
      <c r="E70" s="229" t="s">
        <v>31</v>
      </c>
      <c r="F70" s="185">
        <f>F66</f>
        <v>377.11</v>
      </c>
      <c r="G70" s="186" t="s">
        <v>399</v>
      </c>
      <c r="H70" s="106"/>
      <c r="I70" s="53"/>
    </row>
    <row r="71" spans="1:9" s="88" customFormat="1" ht="22.5" x14ac:dyDescent="0.2">
      <c r="A71" s="136" t="s">
        <v>539</v>
      </c>
      <c r="B71" s="183" t="s">
        <v>40</v>
      </c>
      <c r="C71" s="136" t="s">
        <v>91</v>
      </c>
      <c r="D71" s="228" t="s">
        <v>124</v>
      </c>
      <c r="E71" s="229" t="s">
        <v>31</v>
      </c>
      <c r="F71" s="185">
        <f>F68</f>
        <v>84.95</v>
      </c>
      <c r="G71" s="186" t="s">
        <v>400</v>
      </c>
      <c r="H71" s="106"/>
      <c r="I71" s="53"/>
    </row>
    <row r="72" spans="1:9" s="52" customFormat="1" ht="10.9" customHeight="1" x14ac:dyDescent="0.2">
      <c r="A72" s="161" t="s">
        <v>72</v>
      </c>
      <c r="B72" s="147"/>
      <c r="C72" s="161"/>
      <c r="D72" s="167" t="s">
        <v>125</v>
      </c>
      <c r="E72" s="168"/>
      <c r="F72" s="164"/>
      <c r="G72" s="165"/>
      <c r="H72" s="106"/>
      <c r="I72" s="53"/>
    </row>
    <row r="73" spans="1:9" s="88" customFormat="1" ht="56.25" x14ac:dyDescent="0.2">
      <c r="A73" s="136" t="s">
        <v>334</v>
      </c>
      <c r="B73" s="183" t="s">
        <v>40</v>
      </c>
      <c r="C73" s="136" t="s">
        <v>245</v>
      </c>
      <c r="D73" s="222" t="s">
        <v>244</v>
      </c>
      <c r="E73" s="229" t="s">
        <v>31</v>
      </c>
      <c r="F73" s="185">
        <f>84.1+4.19+73.6</f>
        <v>161.88999999999999</v>
      </c>
      <c r="G73" s="186" t="s">
        <v>403</v>
      </c>
      <c r="H73" s="106"/>
      <c r="I73" s="53"/>
    </row>
    <row r="74" spans="1:9" s="88" customFormat="1" ht="45" x14ac:dyDescent="0.2">
      <c r="A74" s="136" t="s">
        <v>335</v>
      </c>
      <c r="B74" s="183" t="s">
        <v>40</v>
      </c>
      <c r="C74" s="104" t="s">
        <v>401</v>
      </c>
      <c r="D74" s="228" t="s">
        <v>402</v>
      </c>
      <c r="E74" s="229" t="s">
        <v>31</v>
      </c>
      <c r="F74" s="185">
        <f>F73</f>
        <v>161.88999999999999</v>
      </c>
      <c r="G74" s="186" t="s">
        <v>403</v>
      </c>
      <c r="H74" s="106"/>
      <c r="I74" s="53"/>
    </row>
    <row r="75" spans="1:9" s="88" customFormat="1" ht="22.5" x14ac:dyDescent="0.2">
      <c r="A75" s="136" t="s">
        <v>336</v>
      </c>
      <c r="B75" s="183" t="s">
        <v>40</v>
      </c>
      <c r="C75" s="136" t="s">
        <v>92</v>
      </c>
      <c r="D75" s="228" t="s">
        <v>126</v>
      </c>
      <c r="E75" s="229" t="s">
        <v>167</v>
      </c>
      <c r="F75" s="185">
        <f>(3.75+10.2+8.65+5.25+1.65+4.45+1.65+1.65+3.4+3.4)</f>
        <v>44.05</v>
      </c>
      <c r="G75" s="186" t="s">
        <v>246</v>
      </c>
      <c r="H75" s="106"/>
      <c r="I75" s="53"/>
    </row>
    <row r="76" spans="1:9" s="88" customFormat="1" ht="22.5" x14ac:dyDescent="0.2">
      <c r="A76" s="136" t="s">
        <v>337</v>
      </c>
      <c r="B76" s="183" t="s">
        <v>40</v>
      </c>
      <c r="C76" s="136" t="s">
        <v>93</v>
      </c>
      <c r="D76" s="228" t="s">
        <v>127</v>
      </c>
      <c r="E76" s="229" t="s">
        <v>167</v>
      </c>
      <c r="F76" s="185">
        <f>(9.9+3.6+3.5+3.1+10.35+1.35+1.75+8.35)</f>
        <v>41.900000000000006</v>
      </c>
      <c r="G76" s="186" t="s">
        <v>404</v>
      </c>
      <c r="H76" s="106"/>
      <c r="I76" s="53"/>
    </row>
    <row r="77" spans="1:9" s="88" customFormat="1" ht="11.25" x14ac:dyDescent="0.2">
      <c r="A77" s="136" t="s">
        <v>338</v>
      </c>
      <c r="B77" s="183" t="s">
        <v>40</v>
      </c>
      <c r="C77" s="136" t="s">
        <v>94</v>
      </c>
      <c r="D77" s="228" t="s">
        <v>128</v>
      </c>
      <c r="E77" s="229" t="s">
        <v>167</v>
      </c>
      <c r="F77" s="185">
        <f>(0.5+4.45+4.95)</f>
        <v>9.9</v>
      </c>
      <c r="G77" s="186" t="s">
        <v>405</v>
      </c>
      <c r="H77" s="106"/>
      <c r="I77" s="53"/>
    </row>
    <row r="78" spans="1:9" s="88" customFormat="1" ht="11.25" x14ac:dyDescent="0.2">
      <c r="A78" s="136" t="s">
        <v>339</v>
      </c>
      <c r="B78" s="183" t="s">
        <v>40</v>
      </c>
      <c r="C78" s="136" t="s">
        <v>191</v>
      </c>
      <c r="D78" s="228" t="s">
        <v>192</v>
      </c>
      <c r="E78" s="229" t="s">
        <v>166</v>
      </c>
      <c r="F78" s="185">
        <v>2</v>
      </c>
      <c r="G78" s="186" t="s">
        <v>193</v>
      </c>
      <c r="H78" s="106"/>
      <c r="I78" s="53"/>
    </row>
    <row r="79" spans="1:9" s="88" customFormat="1" ht="22.5" x14ac:dyDescent="0.2">
      <c r="A79" s="136" t="s">
        <v>340</v>
      </c>
      <c r="B79" s="183" t="s">
        <v>40</v>
      </c>
      <c r="C79" s="136" t="s">
        <v>49</v>
      </c>
      <c r="D79" s="228" t="s">
        <v>129</v>
      </c>
      <c r="E79" s="229" t="s">
        <v>167</v>
      </c>
      <c r="F79" s="185">
        <f>4*2</f>
        <v>8</v>
      </c>
      <c r="G79" s="186" t="s">
        <v>406</v>
      </c>
      <c r="H79" s="106"/>
      <c r="I79" s="53"/>
    </row>
    <row r="80" spans="1:9" s="52" customFormat="1" ht="11.25" x14ac:dyDescent="0.2">
      <c r="A80" s="161" t="s">
        <v>73</v>
      </c>
      <c r="B80" s="147"/>
      <c r="C80" s="161"/>
      <c r="D80" s="167" t="s">
        <v>130</v>
      </c>
      <c r="E80" s="168"/>
      <c r="F80" s="164"/>
      <c r="G80" s="165"/>
      <c r="H80" s="106"/>
      <c r="I80" s="53"/>
    </row>
    <row r="81" spans="1:9" s="88" customFormat="1" ht="33.75" x14ac:dyDescent="0.2">
      <c r="A81" s="136" t="s">
        <v>341</v>
      </c>
      <c r="B81" s="183" t="s">
        <v>40</v>
      </c>
      <c r="C81" s="183" t="s">
        <v>498</v>
      </c>
      <c r="D81" s="218" t="s">
        <v>499</v>
      </c>
      <c r="E81" s="229" t="s">
        <v>31</v>
      </c>
      <c r="F81" s="185">
        <f>(0.8*0.15)*9</f>
        <v>1.08</v>
      </c>
      <c r="G81" s="186" t="s">
        <v>407</v>
      </c>
      <c r="H81" s="106"/>
      <c r="I81" s="53"/>
    </row>
    <row r="82" spans="1:9" s="88" customFormat="1" ht="33.75" x14ac:dyDescent="0.2">
      <c r="A82" s="136" t="s">
        <v>342</v>
      </c>
      <c r="B82" s="183" t="s">
        <v>40</v>
      </c>
      <c r="C82" s="183" t="s">
        <v>500</v>
      </c>
      <c r="D82" s="218" t="s">
        <v>501</v>
      </c>
      <c r="E82" s="229" t="s">
        <v>31</v>
      </c>
      <c r="F82" s="185">
        <f>((1.2*0.18)*5+(1.1*0.33))</f>
        <v>1.4430000000000001</v>
      </c>
      <c r="G82" s="186" t="s">
        <v>408</v>
      </c>
      <c r="H82" s="106"/>
      <c r="I82" s="53"/>
    </row>
    <row r="83" spans="1:9" s="52" customFormat="1" ht="11.25" x14ac:dyDescent="0.2">
      <c r="A83" s="161" t="s">
        <v>74</v>
      </c>
      <c r="B83" s="147"/>
      <c r="C83" s="161"/>
      <c r="D83" s="167" t="s">
        <v>131</v>
      </c>
      <c r="E83" s="168"/>
      <c r="F83" s="164"/>
      <c r="G83" s="165"/>
      <c r="H83" s="106"/>
      <c r="I83" s="53"/>
    </row>
    <row r="84" spans="1:9" s="88" customFormat="1" ht="22.5" x14ac:dyDescent="0.2">
      <c r="A84" s="136" t="s">
        <v>343</v>
      </c>
      <c r="B84" s="183" t="s">
        <v>40</v>
      </c>
      <c r="C84" s="136" t="s">
        <v>50</v>
      </c>
      <c r="D84" s="228" t="s">
        <v>141</v>
      </c>
      <c r="E84" s="184" t="s">
        <v>166</v>
      </c>
      <c r="F84" s="185">
        <v>9</v>
      </c>
      <c r="G84" s="186" t="s">
        <v>216</v>
      </c>
      <c r="H84" s="106"/>
      <c r="I84" s="53"/>
    </row>
    <row r="85" spans="1:9" s="88" customFormat="1" ht="22.5" x14ac:dyDescent="0.2">
      <c r="A85" s="136" t="s">
        <v>344</v>
      </c>
      <c r="B85" s="183" t="s">
        <v>40</v>
      </c>
      <c r="C85" s="136" t="s">
        <v>52</v>
      </c>
      <c r="D85" s="228" t="s">
        <v>142</v>
      </c>
      <c r="E85" s="229" t="s">
        <v>31</v>
      </c>
      <c r="F85" s="185">
        <f>(0.8*2.1*9*2)</f>
        <v>30.240000000000002</v>
      </c>
      <c r="G85" s="186" t="s">
        <v>412</v>
      </c>
      <c r="H85" s="106"/>
      <c r="I85" s="53"/>
    </row>
    <row r="86" spans="1:9" s="88" customFormat="1" ht="56.25" x14ac:dyDescent="0.2">
      <c r="A86" s="136" t="s">
        <v>345</v>
      </c>
      <c r="B86" s="183" t="s">
        <v>40</v>
      </c>
      <c r="C86" s="51" t="s">
        <v>414</v>
      </c>
      <c r="D86" s="134" t="s">
        <v>413</v>
      </c>
      <c r="E86" s="229" t="s">
        <v>31</v>
      </c>
      <c r="F86" s="185">
        <f>(1.2*1*5)</f>
        <v>6</v>
      </c>
      <c r="G86" s="186" t="s">
        <v>415</v>
      </c>
      <c r="H86" s="106"/>
      <c r="I86" s="53"/>
    </row>
    <row r="87" spans="1:9" s="88" customFormat="1" ht="45" x14ac:dyDescent="0.2">
      <c r="A87" s="136" t="s">
        <v>346</v>
      </c>
      <c r="B87" s="183" t="s">
        <v>40</v>
      </c>
      <c r="C87" s="104" t="s">
        <v>417</v>
      </c>
      <c r="D87" s="134" t="s">
        <v>416</v>
      </c>
      <c r="E87" s="229" t="s">
        <v>31</v>
      </c>
      <c r="F87" s="185">
        <f>(0.6*0.6*5)</f>
        <v>1.7999999999999998</v>
      </c>
      <c r="G87" s="186" t="s">
        <v>418</v>
      </c>
      <c r="H87" s="106"/>
      <c r="I87" s="53"/>
    </row>
    <row r="88" spans="1:9" s="88" customFormat="1" ht="22.5" x14ac:dyDescent="0.2">
      <c r="A88" s="136" t="s">
        <v>483</v>
      </c>
      <c r="B88" s="183" t="s">
        <v>40</v>
      </c>
      <c r="C88" s="136" t="s">
        <v>540</v>
      </c>
      <c r="D88" s="228" t="s">
        <v>541</v>
      </c>
      <c r="E88" s="229" t="s">
        <v>31</v>
      </c>
      <c r="F88" s="185">
        <f>((0.52*1.2)+(0.52*1.45)+(0.52*1.2))</f>
        <v>2.0020000000000002</v>
      </c>
      <c r="G88" s="186" t="s">
        <v>422</v>
      </c>
      <c r="H88" s="106"/>
      <c r="I88" s="53"/>
    </row>
    <row r="89" spans="1:9" s="88" customFormat="1" ht="22.5" x14ac:dyDescent="0.2">
      <c r="A89" s="136" t="s">
        <v>484</v>
      </c>
      <c r="B89" s="183" t="s">
        <v>40</v>
      </c>
      <c r="C89" s="136" t="s">
        <v>95</v>
      </c>
      <c r="D89" s="228" t="s">
        <v>132</v>
      </c>
      <c r="E89" s="184" t="s">
        <v>166</v>
      </c>
      <c r="F89" s="185">
        <v>5</v>
      </c>
      <c r="G89" s="186" t="s">
        <v>421</v>
      </c>
      <c r="H89" s="106"/>
      <c r="I89" s="53"/>
    </row>
    <row r="90" spans="1:9" s="88" customFormat="1" ht="11.25" x14ac:dyDescent="0.2">
      <c r="A90" s="136" t="s">
        <v>485</v>
      </c>
      <c r="B90" s="183" t="s">
        <v>40</v>
      </c>
      <c r="C90" s="136" t="s">
        <v>96</v>
      </c>
      <c r="D90" s="228" t="s">
        <v>133</v>
      </c>
      <c r="E90" s="184" t="s">
        <v>166</v>
      </c>
      <c r="F90" s="185">
        <v>2</v>
      </c>
      <c r="G90" s="186" t="s">
        <v>419</v>
      </c>
      <c r="H90" s="106"/>
      <c r="I90" s="53"/>
    </row>
    <row r="91" spans="1:9" s="88" customFormat="1" ht="67.5" x14ac:dyDescent="0.2">
      <c r="A91" s="136" t="s">
        <v>347</v>
      </c>
      <c r="B91" s="183" t="s">
        <v>40</v>
      </c>
      <c r="C91" s="136" t="s">
        <v>424</v>
      </c>
      <c r="D91" s="228" t="s">
        <v>423</v>
      </c>
      <c r="E91" s="184" t="s">
        <v>166</v>
      </c>
      <c r="F91" s="185">
        <v>2</v>
      </c>
      <c r="G91" s="186" t="s">
        <v>419</v>
      </c>
      <c r="H91" s="106"/>
      <c r="I91" s="53"/>
    </row>
    <row r="92" spans="1:9" s="88" customFormat="1" ht="22.5" x14ac:dyDescent="0.2">
      <c r="A92" s="136" t="s">
        <v>348</v>
      </c>
      <c r="B92" s="183" t="s">
        <v>40</v>
      </c>
      <c r="C92" s="136" t="s">
        <v>97</v>
      </c>
      <c r="D92" s="228" t="s">
        <v>134</v>
      </c>
      <c r="E92" s="184" t="s">
        <v>166</v>
      </c>
      <c r="F92" s="185">
        <v>5</v>
      </c>
      <c r="G92" s="186" t="s">
        <v>420</v>
      </c>
      <c r="H92" s="106"/>
      <c r="I92" s="53"/>
    </row>
    <row r="93" spans="1:9" s="88" customFormat="1" ht="56.25" x14ac:dyDescent="0.2">
      <c r="A93" s="136" t="s">
        <v>349</v>
      </c>
      <c r="B93" s="183" t="s">
        <v>40</v>
      </c>
      <c r="C93" s="136" t="s">
        <v>98</v>
      </c>
      <c r="D93" s="228" t="s">
        <v>135</v>
      </c>
      <c r="E93" s="184" t="s">
        <v>166</v>
      </c>
      <c r="F93" s="185">
        <v>3</v>
      </c>
      <c r="G93" s="186" t="s">
        <v>425</v>
      </c>
      <c r="H93" s="106"/>
      <c r="I93" s="53"/>
    </row>
    <row r="94" spans="1:9" s="88" customFormat="1" ht="33.75" x14ac:dyDescent="0.2">
      <c r="A94" s="136" t="s">
        <v>350</v>
      </c>
      <c r="B94" s="183" t="s">
        <v>40</v>
      </c>
      <c r="C94" s="136" t="s">
        <v>53</v>
      </c>
      <c r="D94" s="228" t="s">
        <v>136</v>
      </c>
      <c r="E94" s="184" t="s">
        <v>166</v>
      </c>
      <c r="F94" s="185">
        <v>2</v>
      </c>
      <c r="G94" s="186" t="s">
        <v>419</v>
      </c>
      <c r="H94" s="106"/>
      <c r="I94" s="53"/>
    </row>
    <row r="95" spans="1:9" s="88" customFormat="1" ht="22.5" x14ac:dyDescent="0.2">
      <c r="A95" s="136" t="s">
        <v>351</v>
      </c>
      <c r="B95" s="183" t="s">
        <v>40</v>
      </c>
      <c r="C95" s="136" t="s">
        <v>99</v>
      </c>
      <c r="D95" s="228" t="s">
        <v>137</v>
      </c>
      <c r="E95" s="184" t="s">
        <v>166</v>
      </c>
      <c r="F95" s="185">
        <v>3</v>
      </c>
      <c r="G95" s="186" t="s">
        <v>426</v>
      </c>
      <c r="H95" s="106"/>
      <c r="I95" s="53"/>
    </row>
    <row r="96" spans="1:9" s="88" customFormat="1" ht="22.5" x14ac:dyDescent="0.2">
      <c r="A96" s="136" t="s">
        <v>352</v>
      </c>
      <c r="B96" s="183" t="s">
        <v>40</v>
      </c>
      <c r="C96" s="136" t="s">
        <v>100</v>
      </c>
      <c r="D96" s="228" t="s">
        <v>138</v>
      </c>
      <c r="E96" s="184" t="s">
        <v>166</v>
      </c>
      <c r="F96" s="185">
        <v>1</v>
      </c>
      <c r="G96" s="186" t="s">
        <v>428</v>
      </c>
      <c r="H96" s="106"/>
      <c r="I96" s="53"/>
    </row>
    <row r="97" spans="1:9" s="88" customFormat="1" ht="33.75" x14ac:dyDescent="0.2">
      <c r="A97" s="136" t="s">
        <v>353</v>
      </c>
      <c r="B97" s="183" t="s">
        <v>40</v>
      </c>
      <c r="C97" s="136" t="s">
        <v>101</v>
      </c>
      <c r="D97" s="228" t="s">
        <v>139</v>
      </c>
      <c r="E97" s="184" t="s">
        <v>166</v>
      </c>
      <c r="F97" s="185">
        <v>1</v>
      </c>
      <c r="G97" s="186" t="s">
        <v>427</v>
      </c>
      <c r="H97" s="106"/>
      <c r="I97" s="53"/>
    </row>
    <row r="98" spans="1:9" s="88" customFormat="1" ht="11.25" x14ac:dyDescent="0.2">
      <c r="A98" s="136" t="s">
        <v>354</v>
      </c>
      <c r="B98" s="183" t="s">
        <v>40</v>
      </c>
      <c r="C98" s="136" t="s">
        <v>430</v>
      </c>
      <c r="D98" s="228" t="s">
        <v>429</v>
      </c>
      <c r="E98" s="184" t="s">
        <v>166</v>
      </c>
      <c r="F98" s="185">
        <v>1</v>
      </c>
      <c r="G98" s="186" t="s">
        <v>431</v>
      </c>
      <c r="H98" s="106"/>
      <c r="I98" s="53"/>
    </row>
    <row r="99" spans="1:9" s="88" customFormat="1" ht="33.75" x14ac:dyDescent="0.2">
      <c r="A99" s="136" t="s">
        <v>355</v>
      </c>
      <c r="B99" s="183" t="s">
        <v>40</v>
      </c>
      <c r="C99" s="136" t="s">
        <v>102</v>
      </c>
      <c r="D99" s="228" t="s">
        <v>140</v>
      </c>
      <c r="E99" s="184" t="s">
        <v>166</v>
      </c>
      <c r="F99" s="185">
        <v>2</v>
      </c>
      <c r="G99" s="186" t="s">
        <v>419</v>
      </c>
      <c r="H99" s="106"/>
      <c r="I99" s="53"/>
    </row>
    <row r="100" spans="1:9" s="88" customFormat="1" ht="22.5" x14ac:dyDescent="0.2">
      <c r="A100" s="136" t="s">
        <v>356</v>
      </c>
      <c r="B100" s="183" t="s">
        <v>40</v>
      </c>
      <c r="C100" s="137" t="s">
        <v>215</v>
      </c>
      <c r="D100" s="197" t="s">
        <v>214</v>
      </c>
      <c r="E100" s="184" t="s">
        <v>166</v>
      </c>
      <c r="F100" s="185">
        <v>2</v>
      </c>
      <c r="G100" s="186" t="s">
        <v>419</v>
      </c>
      <c r="H100" s="106"/>
      <c r="I100" s="53"/>
    </row>
    <row r="101" spans="1:9" s="88" customFormat="1" ht="22.5" x14ac:dyDescent="0.2">
      <c r="A101" s="136" t="s">
        <v>357</v>
      </c>
      <c r="B101" s="183" t="s">
        <v>40</v>
      </c>
      <c r="C101" s="137" t="s">
        <v>253</v>
      </c>
      <c r="D101" s="197" t="s">
        <v>252</v>
      </c>
      <c r="E101" s="184" t="s">
        <v>166</v>
      </c>
      <c r="F101" s="185">
        <v>2</v>
      </c>
      <c r="G101" s="186" t="s">
        <v>419</v>
      </c>
      <c r="H101" s="106"/>
      <c r="I101" s="53"/>
    </row>
    <row r="102" spans="1:9" s="88" customFormat="1" ht="11.25" x14ac:dyDescent="0.2">
      <c r="A102" s="136" t="s">
        <v>358</v>
      </c>
      <c r="B102" s="183" t="s">
        <v>40</v>
      </c>
      <c r="C102" s="137" t="s">
        <v>377</v>
      </c>
      <c r="D102" s="202" t="s">
        <v>378</v>
      </c>
      <c r="E102" s="184" t="s">
        <v>31</v>
      </c>
      <c r="F102" s="185">
        <f>12*2.5</f>
        <v>30</v>
      </c>
      <c r="G102" s="186" t="s">
        <v>432</v>
      </c>
      <c r="H102" s="106"/>
      <c r="I102" s="53"/>
    </row>
    <row r="103" spans="1:9" s="52" customFormat="1" ht="11.25" x14ac:dyDescent="0.2">
      <c r="A103" s="161">
        <v>6</v>
      </c>
      <c r="B103" s="147"/>
      <c r="C103" s="161"/>
      <c r="D103" s="167" t="s">
        <v>143</v>
      </c>
      <c r="E103" s="168"/>
      <c r="F103" s="169"/>
      <c r="G103" s="170"/>
      <c r="H103" s="106"/>
      <c r="I103" s="53"/>
    </row>
    <row r="104" spans="1:9" s="88" customFormat="1" ht="33.75" x14ac:dyDescent="0.2">
      <c r="A104" s="136" t="s">
        <v>23</v>
      </c>
      <c r="B104" s="183" t="s">
        <v>40</v>
      </c>
      <c r="C104" s="183" t="s">
        <v>156</v>
      </c>
      <c r="D104" s="218" t="s">
        <v>157</v>
      </c>
      <c r="E104" s="220" t="s">
        <v>166</v>
      </c>
      <c r="F104" s="185">
        <v>18</v>
      </c>
      <c r="G104" s="186" t="s">
        <v>219</v>
      </c>
      <c r="H104" s="106"/>
      <c r="I104" s="53"/>
    </row>
    <row r="105" spans="1:9" s="88" customFormat="1" ht="33.75" x14ac:dyDescent="0.2">
      <c r="A105" s="136" t="s">
        <v>25</v>
      </c>
      <c r="B105" s="183" t="s">
        <v>40</v>
      </c>
      <c r="C105" s="198" t="s">
        <v>218</v>
      </c>
      <c r="D105" s="197" t="s">
        <v>217</v>
      </c>
      <c r="E105" s="220" t="s">
        <v>166</v>
      </c>
      <c r="F105" s="185">
        <v>12</v>
      </c>
      <c r="G105" s="186" t="s">
        <v>220</v>
      </c>
      <c r="H105" s="106"/>
      <c r="I105" s="53"/>
    </row>
    <row r="106" spans="1:9" s="88" customFormat="1" ht="33.75" x14ac:dyDescent="0.2">
      <c r="A106" s="136" t="s">
        <v>30</v>
      </c>
      <c r="B106" s="183" t="s">
        <v>40</v>
      </c>
      <c r="C106" s="137" t="s">
        <v>222</v>
      </c>
      <c r="D106" s="197" t="s">
        <v>221</v>
      </c>
      <c r="E106" s="184" t="s">
        <v>166</v>
      </c>
      <c r="F106" s="185">
        <v>20</v>
      </c>
      <c r="G106" s="186" t="s">
        <v>223</v>
      </c>
      <c r="H106" s="106"/>
      <c r="I106" s="53"/>
    </row>
    <row r="107" spans="1:9" s="88" customFormat="1" ht="33.75" x14ac:dyDescent="0.2">
      <c r="A107" s="136" t="s">
        <v>39</v>
      </c>
      <c r="B107" s="183" t="s">
        <v>40</v>
      </c>
      <c r="C107" s="137" t="s">
        <v>225</v>
      </c>
      <c r="D107" s="203" t="s">
        <v>224</v>
      </c>
      <c r="E107" s="184" t="s">
        <v>166</v>
      </c>
      <c r="F107" s="185">
        <v>24</v>
      </c>
      <c r="G107" s="186" t="s">
        <v>433</v>
      </c>
      <c r="H107" s="106"/>
      <c r="I107" s="53"/>
    </row>
    <row r="108" spans="1:9" s="88" customFormat="1" ht="45" x14ac:dyDescent="0.2">
      <c r="A108" s="136" t="s">
        <v>42</v>
      </c>
      <c r="B108" s="183" t="s">
        <v>40</v>
      </c>
      <c r="C108" s="198" t="s">
        <v>435</v>
      </c>
      <c r="D108" s="203" t="s">
        <v>434</v>
      </c>
      <c r="E108" s="184" t="s">
        <v>166</v>
      </c>
      <c r="F108" s="185">
        <v>1</v>
      </c>
      <c r="G108" s="186" t="s">
        <v>436</v>
      </c>
      <c r="H108" s="106"/>
      <c r="I108" s="53"/>
    </row>
    <row r="109" spans="1:9" s="88" customFormat="1" ht="11.25" x14ac:dyDescent="0.2">
      <c r="A109" s="136" t="s">
        <v>75</v>
      </c>
      <c r="B109" s="183" t="s">
        <v>40</v>
      </c>
      <c r="C109" s="136" t="s">
        <v>45</v>
      </c>
      <c r="D109" s="228" t="s">
        <v>164</v>
      </c>
      <c r="E109" s="184" t="s">
        <v>166</v>
      </c>
      <c r="F109" s="185">
        <v>1</v>
      </c>
      <c r="G109" s="186" t="s">
        <v>158</v>
      </c>
      <c r="H109" s="106"/>
      <c r="I109" s="53"/>
    </row>
    <row r="110" spans="1:9" s="88" customFormat="1" ht="11.25" x14ac:dyDescent="0.2">
      <c r="A110" s="136" t="s">
        <v>76</v>
      </c>
      <c r="B110" s="183" t="s">
        <v>40</v>
      </c>
      <c r="C110" s="136" t="s">
        <v>103</v>
      </c>
      <c r="D110" s="228" t="s">
        <v>165</v>
      </c>
      <c r="E110" s="184" t="s">
        <v>166</v>
      </c>
      <c r="F110" s="185">
        <v>3</v>
      </c>
      <c r="G110" s="186" t="s">
        <v>159</v>
      </c>
      <c r="H110" s="106"/>
      <c r="I110" s="53"/>
    </row>
    <row r="111" spans="1:9" s="88" customFormat="1" ht="11.25" x14ac:dyDescent="0.2">
      <c r="A111" s="136" t="s">
        <v>77</v>
      </c>
      <c r="B111" s="183" t="s">
        <v>40</v>
      </c>
      <c r="C111" s="198" t="s">
        <v>442</v>
      </c>
      <c r="D111" s="201" t="s">
        <v>441</v>
      </c>
      <c r="E111" s="184" t="s">
        <v>166</v>
      </c>
      <c r="F111" s="185">
        <v>1</v>
      </c>
      <c r="G111" s="186" t="s">
        <v>160</v>
      </c>
      <c r="H111" s="106"/>
      <c r="I111" s="53"/>
    </row>
    <row r="112" spans="1:9" s="88" customFormat="1" ht="11.25" x14ac:dyDescent="0.2">
      <c r="A112" s="136" t="s">
        <v>78</v>
      </c>
      <c r="B112" s="183" t="s">
        <v>40</v>
      </c>
      <c r="C112" s="137" t="s">
        <v>444</v>
      </c>
      <c r="D112" s="202" t="s">
        <v>443</v>
      </c>
      <c r="E112" s="184" t="s">
        <v>166</v>
      </c>
      <c r="F112" s="185">
        <v>1</v>
      </c>
      <c r="G112" s="186" t="s">
        <v>438</v>
      </c>
      <c r="H112" s="106"/>
      <c r="I112" s="53"/>
    </row>
    <row r="113" spans="1:9" s="88" customFormat="1" ht="22.5" x14ac:dyDescent="0.2">
      <c r="A113" s="136" t="s">
        <v>79</v>
      </c>
      <c r="B113" s="183" t="s">
        <v>40</v>
      </c>
      <c r="C113" s="198" t="s">
        <v>440</v>
      </c>
      <c r="D113" s="197" t="s">
        <v>439</v>
      </c>
      <c r="E113" s="184" t="s">
        <v>166</v>
      </c>
      <c r="F113" s="185">
        <v>1</v>
      </c>
      <c r="G113" s="186" t="s">
        <v>162</v>
      </c>
      <c r="H113" s="106"/>
      <c r="I113" s="53"/>
    </row>
    <row r="114" spans="1:9" s="88" customFormat="1" ht="45" x14ac:dyDescent="0.2">
      <c r="A114" s="136" t="s">
        <v>80</v>
      </c>
      <c r="B114" s="183" t="s">
        <v>40</v>
      </c>
      <c r="C114" s="183" t="s">
        <v>446</v>
      </c>
      <c r="D114" s="218" t="s">
        <v>445</v>
      </c>
      <c r="E114" s="184" t="s">
        <v>166</v>
      </c>
      <c r="F114" s="185">
        <v>3</v>
      </c>
      <c r="G114" s="186" t="s">
        <v>447</v>
      </c>
      <c r="H114" s="106"/>
      <c r="I114" s="53"/>
    </row>
    <row r="115" spans="1:9" s="88" customFormat="1" ht="11.25" x14ac:dyDescent="0.2">
      <c r="A115" s="136" t="s">
        <v>81</v>
      </c>
      <c r="B115" s="183" t="s">
        <v>40</v>
      </c>
      <c r="C115" s="136" t="s">
        <v>104</v>
      </c>
      <c r="D115" s="228" t="s">
        <v>161</v>
      </c>
      <c r="E115" s="184" t="s">
        <v>166</v>
      </c>
      <c r="F115" s="185">
        <v>1</v>
      </c>
      <c r="G115" s="186" t="s">
        <v>163</v>
      </c>
      <c r="H115" s="106"/>
      <c r="I115" s="53"/>
    </row>
    <row r="116" spans="1:9" s="88" customFormat="1" ht="45" x14ac:dyDescent="0.2">
      <c r="A116" s="136" t="s">
        <v>437</v>
      </c>
      <c r="B116" s="183" t="s">
        <v>40</v>
      </c>
      <c r="C116" s="137" t="s">
        <v>449</v>
      </c>
      <c r="D116" s="231" t="s">
        <v>448</v>
      </c>
      <c r="E116" s="184" t="s">
        <v>166</v>
      </c>
      <c r="F116" s="185">
        <v>1</v>
      </c>
      <c r="G116" s="186" t="s">
        <v>450</v>
      </c>
      <c r="H116" s="106"/>
      <c r="I116" s="53"/>
    </row>
    <row r="117" spans="1:9" s="52" customFormat="1" ht="11.25" x14ac:dyDescent="0.2">
      <c r="A117" s="161">
        <v>7</v>
      </c>
      <c r="B117" s="147"/>
      <c r="C117" s="161"/>
      <c r="D117" s="167" t="s">
        <v>144</v>
      </c>
      <c r="E117" s="168"/>
      <c r="F117" s="164"/>
      <c r="G117" s="165"/>
      <c r="H117" s="106"/>
      <c r="I117" s="53"/>
    </row>
    <row r="118" spans="1:9" s="88" customFormat="1" ht="22.5" x14ac:dyDescent="0.2">
      <c r="A118" s="136" t="s">
        <v>24</v>
      </c>
      <c r="B118" s="183" t="s">
        <v>40</v>
      </c>
      <c r="C118" s="183" t="s">
        <v>168</v>
      </c>
      <c r="D118" s="218" t="s">
        <v>169</v>
      </c>
      <c r="E118" s="219" t="s">
        <v>166</v>
      </c>
      <c r="F118" s="185">
        <v>6</v>
      </c>
      <c r="G118" s="186" t="s">
        <v>230</v>
      </c>
      <c r="H118" s="106"/>
      <c r="I118" s="53"/>
    </row>
    <row r="119" spans="1:9" s="88" customFormat="1" ht="33.75" x14ac:dyDescent="0.2">
      <c r="A119" s="136" t="s">
        <v>209</v>
      </c>
      <c r="B119" s="183" t="s">
        <v>40</v>
      </c>
      <c r="C119" s="183" t="s">
        <v>174</v>
      </c>
      <c r="D119" s="218" t="s">
        <v>175</v>
      </c>
      <c r="E119" s="219" t="s">
        <v>166</v>
      </c>
      <c r="F119" s="185">
        <v>6</v>
      </c>
      <c r="G119" s="186" t="s">
        <v>178</v>
      </c>
      <c r="H119" s="106"/>
      <c r="I119" s="53"/>
    </row>
    <row r="120" spans="1:9" s="88" customFormat="1" ht="22.5" x14ac:dyDescent="0.2">
      <c r="A120" s="136" t="s">
        <v>359</v>
      </c>
      <c r="B120" s="183" t="s">
        <v>40</v>
      </c>
      <c r="C120" s="232" t="s">
        <v>234</v>
      </c>
      <c r="D120" s="222" t="s">
        <v>233</v>
      </c>
      <c r="E120" s="220" t="s">
        <v>166</v>
      </c>
      <c r="F120" s="185">
        <v>3</v>
      </c>
      <c r="G120" s="186" t="s">
        <v>464</v>
      </c>
      <c r="H120" s="106"/>
      <c r="I120" s="53"/>
    </row>
    <row r="121" spans="1:9" s="88" customFormat="1" ht="22.5" x14ac:dyDescent="0.2">
      <c r="A121" s="136" t="s">
        <v>360</v>
      </c>
      <c r="B121" s="183" t="s">
        <v>40</v>
      </c>
      <c r="C121" s="137" t="s">
        <v>171</v>
      </c>
      <c r="D121" s="224" t="s">
        <v>172</v>
      </c>
      <c r="E121" s="220" t="s">
        <v>166</v>
      </c>
      <c r="F121" s="185">
        <v>2</v>
      </c>
      <c r="G121" s="186" t="s">
        <v>235</v>
      </c>
      <c r="H121" s="106"/>
      <c r="I121" s="53"/>
    </row>
    <row r="122" spans="1:9" s="88" customFormat="1" ht="22.5" x14ac:dyDescent="0.2">
      <c r="A122" s="136" t="s">
        <v>361</v>
      </c>
      <c r="B122" s="183" t="s">
        <v>40</v>
      </c>
      <c r="C122" s="137" t="s">
        <v>462</v>
      </c>
      <c r="D122" s="197" t="s">
        <v>461</v>
      </c>
      <c r="E122" s="220" t="s">
        <v>166</v>
      </c>
      <c r="F122" s="185">
        <v>2</v>
      </c>
      <c r="G122" s="186" t="s">
        <v>463</v>
      </c>
      <c r="H122" s="106"/>
      <c r="I122" s="53"/>
    </row>
    <row r="123" spans="1:9" s="88" customFormat="1" ht="33.75" x14ac:dyDescent="0.2">
      <c r="A123" s="136" t="s">
        <v>362</v>
      </c>
      <c r="B123" s="183" t="s">
        <v>40</v>
      </c>
      <c r="C123" s="137" t="s">
        <v>239</v>
      </c>
      <c r="D123" s="222" t="s">
        <v>238</v>
      </c>
      <c r="E123" s="220" t="s">
        <v>166</v>
      </c>
      <c r="F123" s="185">
        <v>2</v>
      </c>
      <c r="G123" s="186" t="s">
        <v>240</v>
      </c>
      <c r="H123" s="106"/>
      <c r="I123" s="53"/>
    </row>
    <row r="124" spans="1:9" s="88" customFormat="1" ht="22.5" x14ac:dyDescent="0.2">
      <c r="A124" s="136" t="s">
        <v>363</v>
      </c>
      <c r="B124" s="183" t="s">
        <v>40</v>
      </c>
      <c r="C124" s="137" t="s">
        <v>232</v>
      </c>
      <c r="D124" s="224" t="s">
        <v>231</v>
      </c>
      <c r="E124" s="220" t="s">
        <v>166</v>
      </c>
      <c r="F124" s="185">
        <v>2</v>
      </c>
      <c r="G124" s="186" t="s">
        <v>173</v>
      </c>
      <c r="H124" s="106"/>
      <c r="I124" s="53"/>
    </row>
    <row r="125" spans="1:9" s="88" customFormat="1" ht="22.5" x14ac:dyDescent="0.2">
      <c r="A125" s="136" t="s">
        <v>364</v>
      </c>
      <c r="B125" s="183" t="s">
        <v>40</v>
      </c>
      <c r="C125" s="221" t="s">
        <v>237</v>
      </c>
      <c r="D125" s="197" t="s">
        <v>236</v>
      </c>
      <c r="E125" s="220" t="s">
        <v>166</v>
      </c>
      <c r="F125" s="185">
        <v>3</v>
      </c>
      <c r="G125" s="186" t="s">
        <v>465</v>
      </c>
      <c r="H125" s="106"/>
      <c r="I125" s="53"/>
    </row>
    <row r="126" spans="1:9" s="88" customFormat="1" ht="22.5" x14ac:dyDescent="0.2">
      <c r="A126" s="136" t="s">
        <v>365</v>
      </c>
      <c r="B126" s="183" t="s">
        <v>40</v>
      </c>
      <c r="C126" s="221" t="s">
        <v>467</v>
      </c>
      <c r="D126" s="197" t="s">
        <v>466</v>
      </c>
      <c r="E126" s="220" t="s">
        <v>166</v>
      </c>
      <c r="F126" s="185">
        <v>2</v>
      </c>
      <c r="G126" s="186" t="s">
        <v>463</v>
      </c>
      <c r="H126" s="106"/>
      <c r="I126" s="53"/>
    </row>
    <row r="127" spans="1:9" s="88" customFormat="1" ht="45" x14ac:dyDescent="0.2">
      <c r="A127" s="136" t="s">
        <v>366</v>
      </c>
      <c r="B127" s="183" t="s">
        <v>40</v>
      </c>
      <c r="C127" s="137" t="s">
        <v>469</v>
      </c>
      <c r="D127" s="222" t="s">
        <v>468</v>
      </c>
      <c r="E127" s="220" t="s">
        <v>166</v>
      </c>
      <c r="F127" s="185">
        <v>2</v>
      </c>
      <c r="G127" s="186" t="s">
        <v>170</v>
      </c>
      <c r="H127" s="106"/>
      <c r="I127" s="53"/>
    </row>
    <row r="128" spans="1:9" s="88" customFormat="1" ht="45" x14ac:dyDescent="0.2">
      <c r="A128" s="136" t="s">
        <v>367</v>
      </c>
      <c r="B128" s="183" t="s">
        <v>40</v>
      </c>
      <c r="C128" s="183" t="s">
        <v>471</v>
      </c>
      <c r="D128" s="218" t="s">
        <v>470</v>
      </c>
      <c r="E128" s="220" t="s">
        <v>166</v>
      </c>
      <c r="F128" s="185">
        <v>1</v>
      </c>
      <c r="G128" s="186" t="s">
        <v>472</v>
      </c>
      <c r="H128" s="106"/>
      <c r="I128" s="53"/>
    </row>
    <row r="129" spans="1:9" s="88" customFormat="1" ht="22.5" x14ac:dyDescent="0.2">
      <c r="A129" s="136" t="s">
        <v>368</v>
      </c>
      <c r="B129" s="183" t="s">
        <v>40</v>
      </c>
      <c r="C129" s="137" t="s">
        <v>242</v>
      </c>
      <c r="D129" s="222" t="s">
        <v>241</v>
      </c>
      <c r="E129" s="220" t="s">
        <v>167</v>
      </c>
      <c r="F129" s="185">
        <v>25</v>
      </c>
      <c r="G129" s="186" t="s">
        <v>243</v>
      </c>
      <c r="H129" s="106"/>
      <c r="I129" s="53"/>
    </row>
    <row r="130" spans="1:9" s="88" customFormat="1" ht="22.5" x14ac:dyDescent="0.2">
      <c r="A130" s="136" t="s">
        <v>369</v>
      </c>
      <c r="B130" s="183" t="s">
        <v>40</v>
      </c>
      <c r="C130" s="183" t="s">
        <v>176</v>
      </c>
      <c r="D130" s="218" t="s">
        <v>177</v>
      </c>
      <c r="E130" s="220" t="s">
        <v>166</v>
      </c>
      <c r="F130" s="185">
        <v>4</v>
      </c>
      <c r="G130" s="186" t="s">
        <v>480</v>
      </c>
      <c r="H130" s="106"/>
      <c r="I130" s="53"/>
    </row>
    <row r="131" spans="1:9" s="88" customFormat="1" ht="22.5" x14ac:dyDescent="0.2">
      <c r="A131" s="136" t="s">
        <v>370</v>
      </c>
      <c r="B131" s="183" t="s">
        <v>40</v>
      </c>
      <c r="C131" s="183" t="s">
        <v>179</v>
      </c>
      <c r="D131" s="218" t="s">
        <v>180</v>
      </c>
      <c r="E131" s="219" t="s">
        <v>166</v>
      </c>
      <c r="F131" s="185">
        <v>7</v>
      </c>
      <c r="G131" s="186" t="s">
        <v>477</v>
      </c>
      <c r="H131" s="106"/>
      <c r="I131" s="53"/>
    </row>
    <row r="132" spans="1:9" s="88" customFormat="1" ht="22.5" x14ac:dyDescent="0.2">
      <c r="A132" s="136" t="s">
        <v>371</v>
      </c>
      <c r="B132" s="183" t="s">
        <v>40</v>
      </c>
      <c r="C132" s="183" t="s">
        <v>181</v>
      </c>
      <c r="D132" s="218" t="s">
        <v>182</v>
      </c>
      <c r="E132" s="219" t="s">
        <v>166</v>
      </c>
      <c r="F132" s="185">
        <v>1</v>
      </c>
      <c r="G132" s="186" t="s">
        <v>478</v>
      </c>
      <c r="H132" s="106"/>
      <c r="I132" s="53"/>
    </row>
    <row r="133" spans="1:9" s="88" customFormat="1" ht="22.5" x14ac:dyDescent="0.2">
      <c r="A133" s="136" t="s">
        <v>372</v>
      </c>
      <c r="B133" s="183" t="s">
        <v>40</v>
      </c>
      <c r="C133" s="183" t="s">
        <v>185</v>
      </c>
      <c r="D133" s="218" t="s">
        <v>186</v>
      </c>
      <c r="E133" s="219" t="s">
        <v>167</v>
      </c>
      <c r="F133" s="185">
        <f>2*5</f>
        <v>10</v>
      </c>
      <c r="G133" s="186" t="s">
        <v>473</v>
      </c>
      <c r="H133" s="106"/>
      <c r="I133" s="53"/>
    </row>
    <row r="134" spans="1:9" s="88" customFormat="1" ht="11.25" x14ac:dyDescent="0.2">
      <c r="A134" s="136" t="s">
        <v>373</v>
      </c>
      <c r="B134" s="183" t="s">
        <v>40</v>
      </c>
      <c r="C134" s="183" t="s">
        <v>183</v>
      </c>
      <c r="D134" s="218" t="s">
        <v>184</v>
      </c>
      <c r="E134" s="219" t="s">
        <v>166</v>
      </c>
      <c r="F134" s="185">
        <v>1</v>
      </c>
      <c r="G134" s="186" t="s">
        <v>474</v>
      </c>
      <c r="H134" s="106"/>
      <c r="I134" s="53"/>
    </row>
    <row r="135" spans="1:9" s="88" customFormat="1" ht="22.5" x14ac:dyDescent="0.2">
      <c r="A135" s="136" t="s">
        <v>381</v>
      </c>
      <c r="B135" s="183" t="s">
        <v>40</v>
      </c>
      <c r="C135" s="183" t="s">
        <v>476</v>
      </c>
      <c r="D135" s="218" t="s">
        <v>475</v>
      </c>
      <c r="E135" s="220" t="s">
        <v>166</v>
      </c>
      <c r="F135" s="185">
        <v>6</v>
      </c>
      <c r="G135" s="186" t="s">
        <v>479</v>
      </c>
      <c r="H135" s="106"/>
      <c r="I135" s="53"/>
    </row>
    <row r="136" spans="1:9" s="88" customFormat="1" ht="45" x14ac:dyDescent="0.2">
      <c r="A136" s="136" t="s">
        <v>382</v>
      </c>
      <c r="B136" s="183" t="s">
        <v>40</v>
      </c>
      <c r="C136" s="183" t="s">
        <v>187</v>
      </c>
      <c r="D136" s="218" t="s">
        <v>188</v>
      </c>
      <c r="E136" s="219" t="s">
        <v>166</v>
      </c>
      <c r="F136" s="185">
        <v>3</v>
      </c>
      <c r="G136" s="186" t="s">
        <v>481</v>
      </c>
      <c r="H136" s="106"/>
      <c r="I136" s="53"/>
    </row>
    <row r="137" spans="1:9" s="88" customFormat="1" ht="22.5" x14ac:dyDescent="0.2">
      <c r="A137" s="136" t="s">
        <v>383</v>
      </c>
      <c r="B137" s="183" t="s">
        <v>40</v>
      </c>
      <c r="C137" s="137" t="s">
        <v>380</v>
      </c>
      <c r="D137" s="197" t="s">
        <v>379</v>
      </c>
      <c r="E137" s="219" t="s">
        <v>167</v>
      </c>
      <c r="F137" s="185">
        <v>40</v>
      </c>
      <c r="G137" s="186" t="s">
        <v>481</v>
      </c>
      <c r="H137" s="106"/>
      <c r="I137" s="53"/>
    </row>
    <row r="138" spans="1:9" s="88" customFormat="1" ht="11.25" x14ac:dyDescent="0.2">
      <c r="A138" s="136" t="s">
        <v>486</v>
      </c>
      <c r="B138" s="183" t="s">
        <v>40</v>
      </c>
      <c r="C138" s="221" t="s">
        <v>384</v>
      </c>
      <c r="D138" s="201" t="s">
        <v>385</v>
      </c>
      <c r="E138" s="219" t="s">
        <v>166</v>
      </c>
      <c r="F138" s="185">
        <v>1</v>
      </c>
      <c r="G138" s="186" t="s">
        <v>482</v>
      </c>
      <c r="H138" s="106"/>
      <c r="I138" s="53"/>
    </row>
    <row r="139" spans="1:9" s="88" customFormat="1" ht="22.5" x14ac:dyDescent="0.2">
      <c r="A139" s="136" t="s">
        <v>487</v>
      </c>
      <c r="B139" s="183" t="s">
        <v>40</v>
      </c>
      <c r="C139" s="137" t="s">
        <v>49</v>
      </c>
      <c r="D139" s="222" t="s">
        <v>129</v>
      </c>
      <c r="E139" s="219" t="s">
        <v>167</v>
      </c>
      <c r="F139" s="185">
        <v>7.45</v>
      </c>
      <c r="G139" s="186" t="s">
        <v>482</v>
      </c>
      <c r="H139" s="106"/>
      <c r="I139" s="53"/>
    </row>
    <row r="140" spans="1:9" s="52" customFormat="1" ht="11.25" x14ac:dyDescent="0.2">
      <c r="A140" s="161">
        <v>8</v>
      </c>
      <c r="B140" s="148"/>
      <c r="C140" s="147"/>
      <c r="D140" s="162" t="s">
        <v>210</v>
      </c>
      <c r="E140" s="163"/>
      <c r="F140" s="164"/>
      <c r="G140" s="166"/>
      <c r="H140" s="106"/>
      <c r="I140" s="53"/>
    </row>
    <row r="141" spans="1:9" s="88" customFormat="1" ht="22.5" x14ac:dyDescent="0.2">
      <c r="A141" s="136" t="s">
        <v>200</v>
      </c>
      <c r="B141" s="180" t="s">
        <v>40</v>
      </c>
      <c r="C141" s="137" t="s">
        <v>227</v>
      </c>
      <c r="D141" s="222" t="s">
        <v>226</v>
      </c>
      <c r="E141" s="220" t="s">
        <v>31</v>
      </c>
      <c r="F141" s="185">
        <f>(18.74+14.6+2.98+13.9)</f>
        <v>50.219999999999992</v>
      </c>
      <c r="G141" s="223" t="s">
        <v>409</v>
      </c>
      <c r="H141" s="106"/>
      <c r="I141" s="53"/>
    </row>
    <row r="142" spans="1:9" s="88" customFormat="1" ht="45" x14ac:dyDescent="0.2">
      <c r="A142" s="136" t="s">
        <v>313</v>
      </c>
      <c r="B142" s="180" t="s">
        <v>40</v>
      </c>
      <c r="C142" s="137" t="s">
        <v>229</v>
      </c>
      <c r="D142" s="224" t="s">
        <v>228</v>
      </c>
      <c r="E142" s="220" t="s">
        <v>167</v>
      </c>
      <c r="F142" s="185">
        <f>12</f>
        <v>12</v>
      </c>
      <c r="G142" s="223" t="s">
        <v>410</v>
      </c>
      <c r="H142" s="106"/>
      <c r="I142" s="53"/>
    </row>
    <row r="143" spans="1:9" s="88" customFormat="1" ht="11.25" x14ac:dyDescent="0.2">
      <c r="A143" s="161">
        <v>9</v>
      </c>
      <c r="B143" s="148"/>
      <c r="C143" s="138"/>
      <c r="D143" s="189" t="s">
        <v>254</v>
      </c>
      <c r="E143" s="163"/>
      <c r="F143" s="164"/>
      <c r="G143" s="165"/>
      <c r="H143" s="106"/>
      <c r="I143" s="53"/>
    </row>
    <row r="144" spans="1:9" s="88" customFormat="1" ht="22.5" x14ac:dyDescent="0.2">
      <c r="A144" s="236" t="s">
        <v>256</v>
      </c>
      <c r="B144" s="183" t="s">
        <v>40</v>
      </c>
      <c r="C144" s="137" t="s">
        <v>452</v>
      </c>
      <c r="D144" s="197" t="s">
        <v>451</v>
      </c>
      <c r="E144" s="195" t="s">
        <v>255</v>
      </c>
      <c r="F144" s="187">
        <v>1</v>
      </c>
      <c r="G144" s="188"/>
      <c r="H144" s="106"/>
      <c r="I144" s="53"/>
    </row>
    <row r="145" spans="1:9" s="88" customFormat="1" ht="22.5" x14ac:dyDescent="0.2">
      <c r="A145" s="236" t="s">
        <v>257</v>
      </c>
      <c r="B145" s="183" t="s">
        <v>40</v>
      </c>
      <c r="C145" s="137" t="s">
        <v>454</v>
      </c>
      <c r="D145" s="197" t="s">
        <v>453</v>
      </c>
      <c r="E145" s="195" t="s">
        <v>255</v>
      </c>
      <c r="F145" s="187">
        <v>1</v>
      </c>
      <c r="G145" s="188"/>
      <c r="H145" s="106"/>
      <c r="I145" s="53"/>
    </row>
    <row r="146" spans="1:9" s="88" customFormat="1" ht="22.5" x14ac:dyDescent="0.2">
      <c r="A146" s="236" t="s">
        <v>258</v>
      </c>
      <c r="B146" s="183" t="s">
        <v>40</v>
      </c>
      <c r="C146" s="137" t="s">
        <v>460</v>
      </c>
      <c r="D146" s="197" t="s">
        <v>459</v>
      </c>
      <c r="E146" s="195" t="s">
        <v>255</v>
      </c>
      <c r="F146" s="187">
        <v>5</v>
      </c>
      <c r="G146" s="188"/>
      <c r="H146" s="106"/>
      <c r="I146" s="53"/>
    </row>
    <row r="147" spans="1:9" s="88" customFormat="1" ht="22.5" x14ac:dyDescent="0.2">
      <c r="A147" s="236" t="s">
        <v>457</v>
      </c>
      <c r="B147" s="183" t="s">
        <v>40</v>
      </c>
      <c r="C147" s="137" t="s">
        <v>281</v>
      </c>
      <c r="D147" s="197" t="s">
        <v>282</v>
      </c>
      <c r="E147" s="194" t="s">
        <v>167</v>
      </c>
      <c r="F147" s="187">
        <v>50</v>
      </c>
      <c r="G147" s="188"/>
      <c r="H147" s="106"/>
      <c r="I147" s="53"/>
    </row>
    <row r="148" spans="1:9" s="88" customFormat="1" ht="56.25" x14ac:dyDescent="0.2">
      <c r="A148" s="236" t="s">
        <v>458</v>
      </c>
      <c r="B148" s="183" t="s">
        <v>40</v>
      </c>
      <c r="C148" s="137" t="s">
        <v>456</v>
      </c>
      <c r="D148" s="235" t="s">
        <v>455</v>
      </c>
      <c r="E148" s="195" t="s">
        <v>255</v>
      </c>
      <c r="F148" s="187">
        <v>1</v>
      </c>
      <c r="G148" s="188"/>
      <c r="H148" s="106"/>
      <c r="I148" s="53"/>
    </row>
    <row r="149" spans="1:9" s="88" customFormat="1" ht="11.25" x14ac:dyDescent="0.2">
      <c r="A149" s="161">
        <v>10</v>
      </c>
      <c r="B149" s="148"/>
      <c r="C149" s="138"/>
      <c r="D149" s="190" t="s">
        <v>259</v>
      </c>
      <c r="E149" s="163"/>
      <c r="F149" s="164"/>
      <c r="G149" s="165"/>
      <c r="H149" s="106"/>
      <c r="I149" s="53"/>
    </row>
    <row r="150" spans="1:9" s="88" customFormat="1" ht="22.5" x14ac:dyDescent="0.2">
      <c r="A150" s="136" t="s">
        <v>260</v>
      </c>
      <c r="B150" s="183" t="s">
        <v>40</v>
      </c>
      <c r="C150" s="51" t="s">
        <v>285</v>
      </c>
      <c r="D150" s="134" t="s">
        <v>284</v>
      </c>
      <c r="E150" s="195" t="s">
        <v>167</v>
      </c>
      <c r="F150" s="185">
        <v>15</v>
      </c>
      <c r="G150" s="186"/>
      <c r="H150" s="106"/>
      <c r="I150" s="53"/>
    </row>
    <row r="151" spans="1:9" s="88" customFormat="1" ht="11.25" x14ac:dyDescent="0.2">
      <c r="A151" s="136" t="s">
        <v>261</v>
      </c>
      <c r="B151" s="183" t="s">
        <v>40</v>
      </c>
      <c r="C151" s="51" t="s">
        <v>286</v>
      </c>
      <c r="D151" s="135" t="s">
        <v>287</v>
      </c>
      <c r="E151" s="195" t="s">
        <v>167</v>
      </c>
      <c r="F151" s="185">
        <v>15</v>
      </c>
      <c r="G151" s="186"/>
      <c r="H151" s="106"/>
      <c r="I151" s="53"/>
    </row>
    <row r="152" spans="1:9" s="88" customFormat="1" ht="33.75" x14ac:dyDescent="0.2">
      <c r="A152" s="136" t="s">
        <v>300</v>
      </c>
      <c r="B152" s="183" t="s">
        <v>40</v>
      </c>
      <c r="C152" s="51" t="s">
        <v>289</v>
      </c>
      <c r="D152" s="191" t="s">
        <v>288</v>
      </c>
      <c r="E152" s="192" t="s">
        <v>283</v>
      </c>
      <c r="F152" s="185">
        <v>1</v>
      </c>
      <c r="G152" s="186"/>
      <c r="H152" s="106"/>
      <c r="I152" s="53"/>
    </row>
    <row r="153" spans="1:9" s="88" customFormat="1" ht="33.75" x14ac:dyDescent="0.2">
      <c r="A153" s="136" t="s">
        <v>301</v>
      </c>
      <c r="B153" s="183" t="s">
        <v>40</v>
      </c>
      <c r="C153" s="51" t="s">
        <v>291</v>
      </c>
      <c r="D153" s="134" t="s">
        <v>290</v>
      </c>
      <c r="E153" s="192" t="s">
        <v>283</v>
      </c>
      <c r="F153" s="185">
        <v>1</v>
      </c>
      <c r="G153" s="186"/>
      <c r="H153" s="106"/>
      <c r="I153" s="53"/>
    </row>
    <row r="154" spans="1:9" s="88" customFormat="1" ht="33.75" x14ac:dyDescent="0.2">
      <c r="A154" s="136" t="s">
        <v>302</v>
      </c>
      <c r="B154" s="183" t="s">
        <v>40</v>
      </c>
      <c r="C154" s="51" t="s">
        <v>293</v>
      </c>
      <c r="D154" s="134" t="s">
        <v>292</v>
      </c>
      <c r="E154" s="195" t="s">
        <v>283</v>
      </c>
      <c r="F154" s="185">
        <v>1</v>
      </c>
      <c r="G154" s="186"/>
      <c r="H154" s="106"/>
      <c r="I154" s="53"/>
    </row>
    <row r="155" spans="1:9" s="88" customFormat="1" ht="22.5" x14ac:dyDescent="0.2">
      <c r="A155" s="136" t="s">
        <v>303</v>
      </c>
      <c r="B155" s="183" t="s">
        <v>40</v>
      </c>
      <c r="C155" s="51" t="s">
        <v>295</v>
      </c>
      <c r="D155" s="134" t="s">
        <v>294</v>
      </c>
      <c r="E155" s="193" t="s">
        <v>283</v>
      </c>
      <c r="F155" s="185">
        <v>1</v>
      </c>
      <c r="G155" s="186"/>
      <c r="H155" s="106"/>
      <c r="I155" s="53"/>
    </row>
    <row r="156" spans="1:9" s="88" customFormat="1" ht="22.5" x14ac:dyDescent="0.2">
      <c r="A156" s="136" t="s">
        <v>304</v>
      </c>
      <c r="B156" s="183" t="s">
        <v>40</v>
      </c>
      <c r="C156" s="51" t="s">
        <v>296</v>
      </c>
      <c r="D156" s="191" t="s">
        <v>297</v>
      </c>
      <c r="E156" s="192" t="s">
        <v>283</v>
      </c>
      <c r="F156" s="185">
        <v>1</v>
      </c>
      <c r="G156" s="186"/>
      <c r="H156" s="106"/>
      <c r="I156" s="53"/>
    </row>
    <row r="157" spans="1:9" s="88" customFormat="1" ht="22.5" x14ac:dyDescent="0.2">
      <c r="A157" s="136" t="s">
        <v>374</v>
      </c>
      <c r="B157" s="183" t="s">
        <v>40</v>
      </c>
      <c r="C157" s="51" t="s">
        <v>299</v>
      </c>
      <c r="D157" s="134" t="s">
        <v>298</v>
      </c>
      <c r="E157" s="192" t="s">
        <v>167</v>
      </c>
      <c r="F157" s="185">
        <v>10</v>
      </c>
      <c r="G157" s="186"/>
      <c r="H157" s="106"/>
      <c r="I157" s="53"/>
    </row>
    <row r="158" spans="1:9" s="88" customFormat="1" ht="11.25" x14ac:dyDescent="0.2">
      <c r="A158" s="161">
        <v>11</v>
      </c>
      <c r="B158" s="148"/>
      <c r="C158" s="138"/>
      <c r="D158" s="189" t="s">
        <v>262</v>
      </c>
      <c r="E158" s="163"/>
      <c r="F158" s="164"/>
      <c r="G158" s="165"/>
      <c r="H158" s="106"/>
      <c r="I158" s="53"/>
    </row>
    <row r="159" spans="1:9" s="88" customFormat="1" ht="11.25" x14ac:dyDescent="0.2">
      <c r="A159" s="183" t="s">
        <v>272</v>
      </c>
      <c r="B159" s="183" t="s">
        <v>40</v>
      </c>
      <c r="C159" s="198" t="s">
        <v>264</v>
      </c>
      <c r="D159" s="199" t="s">
        <v>278</v>
      </c>
      <c r="E159" s="196" t="s">
        <v>166</v>
      </c>
      <c r="F159" s="196">
        <v>2</v>
      </c>
      <c r="G159" s="196" t="s">
        <v>312</v>
      </c>
      <c r="H159" s="106"/>
      <c r="I159" s="53"/>
    </row>
    <row r="160" spans="1:9" s="88" customFormat="1" ht="22.5" x14ac:dyDescent="0.2">
      <c r="A160" s="183" t="s">
        <v>273</v>
      </c>
      <c r="B160" s="183" t="s">
        <v>40</v>
      </c>
      <c r="C160" s="137" t="s">
        <v>265</v>
      </c>
      <c r="D160" s="200" t="s">
        <v>277</v>
      </c>
      <c r="E160" s="196" t="s">
        <v>166</v>
      </c>
      <c r="F160" s="196">
        <v>5</v>
      </c>
      <c r="G160" s="196" t="s">
        <v>312</v>
      </c>
      <c r="H160" s="106"/>
      <c r="I160" s="53"/>
    </row>
    <row r="161" spans="1:9" s="88" customFormat="1" ht="11.25" x14ac:dyDescent="0.2">
      <c r="A161" s="183" t="s">
        <v>274</v>
      </c>
      <c r="B161" s="183" t="s">
        <v>40</v>
      </c>
      <c r="C161" s="137" t="s">
        <v>263</v>
      </c>
      <c r="D161" s="200" t="s">
        <v>276</v>
      </c>
      <c r="E161" s="196" t="s">
        <v>166</v>
      </c>
      <c r="F161" s="196">
        <v>2</v>
      </c>
      <c r="G161" s="196" t="s">
        <v>312</v>
      </c>
      <c r="H161" s="106"/>
      <c r="I161" s="53"/>
    </row>
    <row r="162" spans="1:9" s="88" customFormat="1" ht="11.25" x14ac:dyDescent="0.2">
      <c r="A162" s="183" t="s">
        <v>275</v>
      </c>
      <c r="B162" s="183" t="s">
        <v>40</v>
      </c>
      <c r="C162" s="137" t="s">
        <v>267</v>
      </c>
      <c r="D162" s="201" t="s">
        <v>266</v>
      </c>
      <c r="E162" s="196" t="s">
        <v>166</v>
      </c>
      <c r="F162" s="196">
        <v>2</v>
      </c>
      <c r="G162" s="196" t="s">
        <v>312</v>
      </c>
      <c r="H162" s="106"/>
      <c r="I162" s="53"/>
    </row>
    <row r="163" spans="1:9" s="88" customFormat="1" ht="11.25" x14ac:dyDescent="0.2">
      <c r="A163" s="183" t="s">
        <v>316</v>
      </c>
      <c r="B163" s="183" t="s">
        <v>40</v>
      </c>
      <c r="C163" s="137" t="s">
        <v>268</v>
      </c>
      <c r="D163" s="201" t="s">
        <v>271</v>
      </c>
      <c r="E163" s="196" t="s">
        <v>166</v>
      </c>
      <c r="F163" s="196">
        <v>7</v>
      </c>
      <c r="G163" s="196" t="s">
        <v>312</v>
      </c>
      <c r="H163" s="106"/>
      <c r="I163" s="53"/>
    </row>
    <row r="164" spans="1:9" s="88" customFormat="1" ht="11.25" x14ac:dyDescent="0.2">
      <c r="A164" s="183" t="s">
        <v>375</v>
      </c>
      <c r="B164" s="183" t="s">
        <v>40</v>
      </c>
      <c r="C164" s="137" t="s">
        <v>269</v>
      </c>
      <c r="D164" s="197" t="s">
        <v>270</v>
      </c>
      <c r="E164" s="196" t="s">
        <v>166</v>
      </c>
      <c r="F164" s="196">
        <v>3</v>
      </c>
      <c r="G164" s="196" t="s">
        <v>312</v>
      </c>
      <c r="H164" s="106"/>
      <c r="I164" s="53"/>
    </row>
    <row r="165" spans="1:9" s="88" customFormat="1" ht="11.25" x14ac:dyDescent="0.2">
      <c r="A165" s="183" t="s">
        <v>376</v>
      </c>
      <c r="B165" s="183" t="s">
        <v>40</v>
      </c>
      <c r="C165" s="137" t="s">
        <v>280</v>
      </c>
      <c r="D165" s="202" t="s">
        <v>279</v>
      </c>
      <c r="E165" s="203" t="s">
        <v>166</v>
      </c>
      <c r="F165" s="203">
        <v>1</v>
      </c>
      <c r="G165" s="196" t="s">
        <v>312</v>
      </c>
      <c r="H165" s="106"/>
      <c r="I165" s="53"/>
    </row>
    <row r="166" spans="1:9" s="88" customFormat="1" ht="11.25" x14ac:dyDescent="0.2">
      <c r="A166" s="161">
        <v>12</v>
      </c>
      <c r="B166" s="148"/>
      <c r="C166" s="138"/>
      <c r="D166" s="162" t="s">
        <v>145</v>
      </c>
      <c r="E166" s="163"/>
      <c r="F166" s="164"/>
      <c r="G166" s="165"/>
      <c r="H166" s="106"/>
      <c r="I166" s="53"/>
    </row>
    <row r="167" spans="1:9" s="88" customFormat="1" ht="11.25" x14ac:dyDescent="0.2">
      <c r="A167" s="136" t="s">
        <v>305</v>
      </c>
      <c r="B167" s="180" t="s">
        <v>40</v>
      </c>
      <c r="C167" s="183" t="s">
        <v>206</v>
      </c>
      <c r="D167" s="218" t="s">
        <v>189</v>
      </c>
      <c r="E167" s="220" t="s">
        <v>31</v>
      </c>
      <c r="F167" s="185">
        <v>324</v>
      </c>
      <c r="G167" s="223" t="s">
        <v>411</v>
      </c>
      <c r="H167" s="106"/>
      <c r="I167" s="53"/>
    </row>
    <row r="168" spans="1:9" s="88" customFormat="1" ht="11.25" x14ac:dyDescent="0.2">
      <c r="A168" s="233"/>
      <c r="B168" s="231"/>
      <c r="C168" s="231"/>
      <c r="D168" s="231"/>
      <c r="E168" s="231"/>
      <c r="F168" s="231"/>
      <c r="G168" s="234"/>
      <c r="H168" s="106"/>
      <c r="I168" s="53"/>
    </row>
    <row r="169" spans="1:9" s="88" customFormat="1" ht="11.25" x14ac:dyDescent="0.2">
      <c r="A169" s="130"/>
      <c r="G169" s="131"/>
      <c r="H169" s="106"/>
      <c r="I169" s="53"/>
    </row>
    <row r="170" spans="1:9" s="88" customFormat="1" ht="11.25" x14ac:dyDescent="0.2">
      <c r="A170" s="130"/>
      <c r="G170" s="131"/>
      <c r="H170" s="106"/>
      <c r="I170" s="53"/>
    </row>
    <row r="171" spans="1:9" s="88" customFormat="1" ht="11.25" x14ac:dyDescent="0.2">
      <c r="A171" s="130"/>
      <c r="G171" s="131"/>
      <c r="H171" s="106"/>
      <c r="I171" s="53"/>
    </row>
    <row r="172" spans="1:9" s="88" customFormat="1" ht="11.25" x14ac:dyDescent="0.2">
      <c r="A172" s="130"/>
      <c r="G172" s="131"/>
      <c r="H172" s="106"/>
      <c r="I172" s="53"/>
    </row>
    <row r="173" spans="1:9" ht="12.6" customHeight="1" x14ac:dyDescent="0.2">
      <c r="A173" s="124"/>
      <c r="F173" s="73"/>
      <c r="G173" s="74"/>
    </row>
    <row r="174" spans="1:9" ht="12.6" customHeight="1" x14ac:dyDescent="0.2">
      <c r="A174" s="124"/>
      <c r="F174" s="73"/>
      <c r="G174" s="74"/>
    </row>
    <row r="175" spans="1:9" x14ac:dyDescent="0.2">
      <c r="A175" s="124"/>
      <c r="B175" s="27"/>
      <c r="C175" s="27"/>
      <c r="D175" s="126"/>
      <c r="F175" s="73"/>
      <c r="G175" s="127"/>
    </row>
    <row r="176" spans="1:9" x14ac:dyDescent="0.2">
      <c r="A176" s="77"/>
      <c r="B176" s="27"/>
      <c r="C176" s="27"/>
      <c r="D176" s="62"/>
      <c r="F176" s="73"/>
      <c r="G176" s="120"/>
    </row>
    <row r="177" spans="1:7" x14ac:dyDescent="0.2">
      <c r="A177" s="289"/>
      <c r="B177" s="290"/>
      <c r="C177" s="290"/>
      <c r="D177" s="122"/>
      <c r="F177" s="73"/>
      <c r="G177" s="121"/>
    </row>
    <row r="178" spans="1:7" x14ac:dyDescent="0.2">
      <c r="A178" s="124"/>
      <c r="F178" s="73"/>
      <c r="G178" s="74"/>
    </row>
    <row r="179" spans="1:7" x14ac:dyDescent="0.2">
      <c r="A179" s="29"/>
      <c r="B179" s="30"/>
      <c r="C179" s="30"/>
      <c r="D179" s="24"/>
      <c r="E179" s="30"/>
      <c r="F179" s="75"/>
      <c r="G179" s="76"/>
    </row>
    <row r="188" spans="1:7" x14ac:dyDescent="0.2">
      <c r="G188" s="65"/>
    </row>
    <row r="189" spans="1:7" x14ac:dyDescent="0.2">
      <c r="G189" s="65"/>
    </row>
    <row r="190" spans="1:7" x14ac:dyDescent="0.2">
      <c r="G190" s="65"/>
    </row>
  </sheetData>
  <autoFilter ref="A7:G168" xr:uid="{00000000-0009-0000-0000-000001000000}"/>
  <mergeCells count="2">
    <mergeCell ref="A177:C177"/>
    <mergeCell ref="A1:G1"/>
  </mergeCells>
  <phoneticPr fontId="21" type="noConversion"/>
  <printOptions horizontalCentered="1"/>
  <pageMargins left="0.39370078740157483" right="0.39370078740157483" top="0.86614173228346458" bottom="0.78740157480314965" header="0.51181102362204722" footer="0.51181102362204722"/>
  <pageSetup paperSize="9" scale="83" fitToHeight="0" orientation="landscape" horizontalDpi="4294967293" r:id="rId1"/>
  <headerFooter alignWithMargins="0">
    <oddFooter>Página &amp;P de &amp;N</oddFooter>
  </headerFooter>
  <rowBreaks count="2" manualBreakCount="2">
    <brk id="117" max="16383" man="1"/>
    <brk id="1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L44"/>
  <sheetViews>
    <sheetView showGridLines="0" tabSelected="1" view="pageBreakPreview" zoomScale="75" zoomScaleNormal="75" zoomScaleSheetLayoutView="75" workbookViewId="0">
      <pane xSplit="2" ySplit="8" topLeftCell="C21" activePane="bottomRight" state="frozen"/>
      <selection pane="topRight" activeCell="C1" sqref="C1"/>
      <selection pane="bottomLeft" activeCell="A8" sqref="A8"/>
      <selection pane="bottomRight" activeCell="D11" sqref="D10:D11"/>
    </sheetView>
  </sheetViews>
  <sheetFormatPr defaultColWidth="9.140625" defaultRowHeight="12.75" x14ac:dyDescent="0.2"/>
  <cols>
    <col min="1" max="1" width="6.85546875" style="13" customWidth="1"/>
    <col min="2" max="2" width="44.140625" style="81" bestFit="1" customWidth="1"/>
    <col min="3" max="3" width="19.140625" style="13" bestFit="1" customWidth="1"/>
    <col min="4" max="4" width="51.42578125" style="13" bestFit="1" customWidth="1"/>
    <col min="5" max="5" width="17.42578125" style="13" bestFit="1" customWidth="1"/>
    <col min="6" max="6" width="19.140625" style="13" bestFit="1" customWidth="1"/>
    <col min="7" max="8" width="19.140625" style="13" customWidth="1"/>
    <col min="9" max="9" width="16.140625" style="13" bestFit="1" customWidth="1"/>
    <col min="10" max="10" width="20.85546875" style="13" bestFit="1" customWidth="1"/>
    <col min="11" max="11" width="9.140625" style="13"/>
    <col min="12" max="12" width="11" style="13" bestFit="1" customWidth="1"/>
    <col min="13" max="16384" width="9.140625" style="13"/>
  </cols>
  <sheetData>
    <row r="1" spans="1:12" ht="150.75" customHeight="1" x14ac:dyDescent="0.2">
      <c r="A1" s="41"/>
      <c r="B1" s="80"/>
      <c r="C1" s="42"/>
      <c r="D1" s="42"/>
      <c r="E1" s="42"/>
      <c r="F1" s="42"/>
      <c r="G1" s="42"/>
      <c r="H1" s="42"/>
      <c r="I1" s="42"/>
      <c r="J1" s="43"/>
    </row>
    <row r="2" spans="1:12" ht="3" customHeight="1" x14ac:dyDescent="0.2">
      <c r="A2" s="41"/>
      <c r="B2" s="80"/>
      <c r="C2" s="42"/>
      <c r="D2" s="42"/>
      <c r="E2" s="42"/>
      <c r="F2" s="42"/>
      <c r="G2" s="42"/>
      <c r="H2" s="42"/>
      <c r="I2" s="42"/>
      <c r="J2" s="43"/>
    </row>
    <row r="3" spans="1:12" x14ac:dyDescent="0.2">
      <c r="A3" s="279" t="s">
        <v>196</v>
      </c>
      <c r="B3" s="280"/>
      <c r="C3" s="280"/>
      <c r="D3" s="280"/>
      <c r="E3" s="280"/>
      <c r="F3" s="280"/>
      <c r="G3" s="280"/>
      <c r="H3" s="280"/>
      <c r="I3" s="280"/>
      <c r="J3" s="281"/>
      <c r="K3" s="17"/>
    </row>
    <row r="4" spans="1:12" ht="3" customHeight="1" x14ac:dyDescent="0.2">
      <c r="A4" s="44"/>
      <c r="B4" s="72"/>
      <c r="C4" s="2"/>
      <c r="D4" s="2"/>
      <c r="E4" s="2"/>
      <c r="F4" s="2"/>
      <c r="G4" s="2"/>
      <c r="H4" s="2"/>
      <c r="I4" s="2"/>
      <c r="J4" s="45"/>
      <c r="K4" s="17"/>
    </row>
    <row r="5" spans="1:12" ht="11.25" customHeight="1" x14ac:dyDescent="0.2">
      <c r="A5" s="44" t="str">
        <f>'MM CALC'!A3</f>
        <v>PREFEITURA MUNICIPAL DE BONFINÓPOLIS DE MINAS - MG</v>
      </c>
      <c r="B5" s="72"/>
      <c r="C5" s="2"/>
      <c r="D5" s="2"/>
      <c r="E5" s="2"/>
      <c r="F5" s="2"/>
      <c r="G5" s="2"/>
      <c r="H5" s="2"/>
      <c r="I5" s="2"/>
      <c r="J5" s="45"/>
      <c r="K5" s="17"/>
    </row>
    <row r="6" spans="1:12" x14ac:dyDescent="0.2">
      <c r="A6" s="44" t="str">
        <f>'MM CALC'!A4</f>
        <v>OBRA: BASE DESCENTRALIZADA SAMU - EQUIPE 4 PESSOAS</v>
      </c>
      <c r="B6" s="72"/>
      <c r="E6" s="132" t="s">
        <v>195</v>
      </c>
      <c r="F6" s="108">
        <f>'PLAN ORÇ'!I171</f>
        <v>0</v>
      </c>
      <c r="G6" s="108"/>
      <c r="H6" s="108"/>
      <c r="I6" s="133"/>
      <c r="J6" s="1" t="str">
        <f>'MM CALC'!E3</f>
        <v>DATA:28/08/2025</v>
      </c>
    </row>
    <row r="7" spans="1:12" x14ac:dyDescent="0.2">
      <c r="A7" s="44" t="str">
        <f>'MM CALC'!A5</f>
        <v>LOCAL: RUA OURO PRETO, S/N, BAIRRO JARDIM CINELÂNDIA- BONFINÓPOLIS DE MINAS – MG, CEP 38.650-000</v>
      </c>
      <c r="B7" s="72"/>
      <c r="C7" s="2"/>
      <c r="D7" s="2"/>
      <c r="E7" s="2"/>
      <c r="F7" s="2"/>
      <c r="G7" s="2"/>
      <c r="H7" s="2"/>
      <c r="I7" s="2"/>
      <c r="J7" s="45"/>
    </row>
    <row r="8" spans="1:12" ht="42.75" customHeight="1" x14ac:dyDescent="0.2">
      <c r="A8" s="97" t="s">
        <v>0</v>
      </c>
      <c r="B8" s="97" t="s">
        <v>1</v>
      </c>
      <c r="C8" s="101" t="s">
        <v>54</v>
      </c>
      <c r="D8" s="79" t="s">
        <v>19</v>
      </c>
      <c r="E8" s="79" t="s">
        <v>20</v>
      </c>
      <c r="F8" s="79" t="s">
        <v>26</v>
      </c>
      <c r="G8" s="79" t="s">
        <v>194</v>
      </c>
      <c r="H8" s="79" t="s">
        <v>569</v>
      </c>
      <c r="I8" s="79" t="s">
        <v>570</v>
      </c>
      <c r="J8" s="79" t="s">
        <v>8</v>
      </c>
    </row>
    <row r="9" spans="1:12" x14ac:dyDescent="0.2">
      <c r="A9" s="297">
        <f>'PLAN ORÇ'!$A$13</f>
        <v>1</v>
      </c>
      <c r="B9" s="297" t="str">
        <f>'PLAN ORÇ'!$D$13</f>
        <v>CANTEIRO DE OBRAS, MOBILIZAÇÃO E DESMOBILIZAÇÃO, PROJETOS COMPLEMENTARES</v>
      </c>
      <c r="C9" s="40" t="e">
        <f>C10/$C$34</f>
        <v>#DIV/0!</v>
      </c>
      <c r="D9" s="247"/>
      <c r="E9" s="101"/>
      <c r="F9" s="101"/>
      <c r="G9" s="101"/>
      <c r="H9" s="101"/>
      <c r="I9" s="101"/>
      <c r="J9" s="101"/>
    </row>
    <row r="10" spans="1:12" x14ac:dyDescent="0.2">
      <c r="A10" s="298"/>
      <c r="B10" s="298"/>
      <c r="C10" s="35">
        <f>'PLAN ORÇ'!$I$13</f>
        <v>0</v>
      </c>
      <c r="D10" s="246"/>
      <c r="E10" s="101"/>
      <c r="F10" s="101"/>
      <c r="G10" s="101"/>
      <c r="H10" s="101"/>
      <c r="I10" s="101"/>
      <c r="J10" s="101"/>
    </row>
    <row r="11" spans="1:12" x14ac:dyDescent="0.2">
      <c r="A11" s="294">
        <f>'PLAN ORÇ'!A25</f>
        <v>2</v>
      </c>
      <c r="B11" s="299" t="str">
        <f>'PLAN ORÇ'!D25</f>
        <v>SERVIÇOS PRELIMINARES</v>
      </c>
      <c r="C11" s="40" t="e">
        <f>C12/$C$34</f>
        <v>#DIV/0!</v>
      </c>
      <c r="D11" s="40"/>
      <c r="E11" s="40"/>
      <c r="F11" s="40"/>
      <c r="G11" s="40"/>
      <c r="H11" s="40"/>
      <c r="I11" s="40"/>
      <c r="J11" s="40"/>
    </row>
    <row r="12" spans="1:12" x14ac:dyDescent="0.2">
      <c r="A12" s="294"/>
      <c r="B12" s="300"/>
      <c r="C12" s="35">
        <f>'PLAN ORÇ'!$I$25</f>
        <v>0</v>
      </c>
      <c r="D12" s="35"/>
      <c r="E12" s="35"/>
      <c r="F12" s="35"/>
      <c r="G12" s="35"/>
      <c r="H12" s="35"/>
      <c r="I12" s="35"/>
      <c r="J12" s="35"/>
      <c r="L12" s="46"/>
    </row>
    <row r="13" spans="1:12" x14ac:dyDescent="0.2">
      <c r="A13" s="297">
        <f>'PLAN ORÇ'!A29</f>
        <v>3</v>
      </c>
      <c r="B13" s="299" t="str">
        <f>'PLAN ORÇ'!D29</f>
        <v>TRABALHOS EM TERRA</v>
      </c>
      <c r="C13" s="40" t="e">
        <f>C14/$C$34</f>
        <v>#DIV/0!</v>
      </c>
      <c r="D13" s="40"/>
      <c r="E13" s="40"/>
      <c r="F13" s="40"/>
      <c r="G13" s="40"/>
      <c r="H13" s="40"/>
      <c r="I13" s="40"/>
      <c r="J13" s="40"/>
    </row>
    <row r="14" spans="1:12" ht="30" customHeight="1" x14ac:dyDescent="0.2">
      <c r="A14" s="298"/>
      <c r="B14" s="300"/>
      <c r="C14" s="35">
        <f>'PLAN ORÇ'!$I$29</f>
        <v>0</v>
      </c>
      <c r="D14" s="35"/>
      <c r="E14" s="35"/>
      <c r="F14" s="35"/>
      <c r="G14" s="35"/>
      <c r="H14" s="35"/>
      <c r="I14" s="35"/>
      <c r="J14" s="35"/>
      <c r="L14" s="46"/>
    </row>
    <row r="15" spans="1:12" ht="12.75" customHeight="1" x14ac:dyDescent="0.2">
      <c r="A15" s="297">
        <f>'PLAN ORÇ'!A33</f>
        <v>4</v>
      </c>
      <c r="B15" s="299" t="str">
        <f>'PLAN ORÇ'!D33</f>
        <v>ESTRUTURAS EM CONCRETO ARMADO</v>
      </c>
      <c r="C15" s="40" t="e">
        <f>C16/$C$34</f>
        <v>#DIV/0!</v>
      </c>
      <c r="D15" s="40"/>
      <c r="E15" s="40"/>
      <c r="F15" s="40"/>
      <c r="G15" s="40"/>
      <c r="H15" s="40"/>
      <c r="I15" s="40"/>
      <c r="J15" s="40"/>
    </row>
    <row r="16" spans="1:12" x14ac:dyDescent="0.2">
      <c r="A16" s="298"/>
      <c r="B16" s="300"/>
      <c r="C16" s="35">
        <f>'PLAN ORÇ'!$I$33</f>
        <v>0</v>
      </c>
      <c r="D16" s="35"/>
      <c r="E16" s="35"/>
      <c r="F16" s="35"/>
      <c r="G16" s="35"/>
      <c r="H16" s="35"/>
      <c r="I16" s="35"/>
      <c r="J16" s="35"/>
      <c r="L16" s="46"/>
    </row>
    <row r="17" spans="1:12" ht="12.75" customHeight="1" x14ac:dyDescent="0.2">
      <c r="A17" s="297">
        <f>'PLAN ORÇ'!A51</f>
        <v>5</v>
      </c>
      <c r="B17" s="299" t="str">
        <f>'PLAN ORÇ'!D51</f>
        <v>VEDAÇÕES, PISOS, COBERTURAS, ESQUADRIAS, ACABAMENTOS E ACESSÓRIOS</v>
      </c>
      <c r="C17" s="40" t="e">
        <f>C18/$C$34</f>
        <v>#DIV/0!</v>
      </c>
      <c r="D17" s="40"/>
      <c r="E17" s="40"/>
      <c r="F17" s="40"/>
      <c r="G17" s="40"/>
      <c r="H17" s="40"/>
      <c r="I17" s="40"/>
      <c r="J17" s="40"/>
    </row>
    <row r="18" spans="1:12" x14ac:dyDescent="0.2">
      <c r="A18" s="298"/>
      <c r="B18" s="300"/>
      <c r="C18" s="35">
        <f>'PLAN ORÇ'!$I$51</f>
        <v>0</v>
      </c>
      <c r="D18" s="35"/>
      <c r="E18" s="35"/>
      <c r="F18" s="35"/>
      <c r="G18" s="35"/>
      <c r="H18" s="35"/>
      <c r="I18" s="35"/>
      <c r="J18" s="35"/>
      <c r="L18" s="46"/>
    </row>
    <row r="19" spans="1:12" ht="12.75" customHeight="1" x14ac:dyDescent="0.2">
      <c r="A19" s="297">
        <f>'PLAN ORÇ'!A107</f>
        <v>6</v>
      </c>
      <c r="B19" s="299" t="str">
        <f>'PLAN ORÇ'!D107</f>
        <v>INSTALAÇÕES ELÉTRICAS</v>
      </c>
      <c r="C19" s="40" t="e">
        <f>C20/$C$34</f>
        <v>#DIV/0!</v>
      </c>
      <c r="D19" s="40"/>
      <c r="E19" s="40"/>
      <c r="F19" s="40"/>
      <c r="G19" s="40"/>
      <c r="H19" s="40"/>
      <c r="I19" s="40"/>
      <c r="J19" s="40"/>
    </row>
    <row r="20" spans="1:12" x14ac:dyDescent="0.2">
      <c r="A20" s="298"/>
      <c r="B20" s="300"/>
      <c r="C20" s="35">
        <f>'PLAN ORÇ'!$I$107</f>
        <v>0</v>
      </c>
      <c r="D20" s="35"/>
      <c r="E20" s="35"/>
      <c r="F20" s="35"/>
      <c r="G20" s="35"/>
      <c r="H20" s="35"/>
      <c r="I20" s="35"/>
      <c r="J20" s="35"/>
      <c r="L20" s="46"/>
    </row>
    <row r="21" spans="1:12" ht="12.75" customHeight="1" x14ac:dyDescent="0.2">
      <c r="A21" s="297">
        <f>'PLAN ORÇ'!A121</f>
        <v>7</v>
      </c>
      <c r="B21" s="299" t="str">
        <f>'PLAN ORÇ'!D121</f>
        <v>INSTALAÇÕES HIDROSSANITÁRIAS</v>
      </c>
      <c r="C21" s="40" t="e">
        <f>C22/$C$34</f>
        <v>#DIV/0!</v>
      </c>
      <c r="D21" s="40"/>
      <c r="E21" s="40"/>
      <c r="F21" s="40"/>
      <c r="G21" s="40"/>
      <c r="H21" s="40"/>
      <c r="I21" s="40"/>
      <c r="J21" s="40"/>
    </row>
    <row r="22" spans="1:12" x14ac:dyDescent="0.2">
      <c r="A22" s="298"/>
      <c r="B22" s="300"/>
      <c r="C22" s="35">
        <f>'PLAN ORÇ'!$I$121</f>
        <v>0</v>
      </c>
      <c r="D22" s="35"/>
      <c r="E22" s="35"/>
      <c r="F22" s="35"/>
      <c r="G22" s="35"/>
      <c r="H22" s="35"/>
      <c r="I22" s="35"/>
      <c r="J22" s="35"/>
      <c r="L22" s="46"/>
    </row>
    <row r="23" spans="1:12" ht="12.6" customHeight="1" x14ac:dyDescent="0.2">
      <c r="A23" s="297">
        <f>'PLAN ORÇ'!A143</f>
        <v>8</v>
      </c>
      <c r="B23" s="299" t="str">
        <f>'PLAN ORÇ'!D143</f>
        <v>PISO EXTERNO</v>
      </c>
      <c r="C23" s="40" t="e">
        <f>C24/$C$34</f>
        <v>#DIV/0!</v>
      </c>
      <c r="D23" s="40"/>
      <c r="E23" s="40"/>
      <c r="F23" s="40"/>
      <c r="G23" s="40"/>
      <c r="H23" s="40"/>
      <c r="I23" s="40"/>
      <c r="J23" s="40"/>
      <c r="L23" s="46"/>
    </row>
    <row r="24" spans="1:12" ht="12.6" customHeight="1" x14ac:dyDescent="0.2">
      <c r="A24" s="298"/>
      <c r="B24" s="300"/>
      <c r="C24" s="35">
        <f>'PLAN ORÇ'!$I$143</f>
        <v>0</v>
      </c>
      <c r="D24" s="35"/>
      <c r="E24" s="35"/>
      <c r="F24" s="35"/>
      <c r="G24" s="35"/>
      <c r="H24" s="35"/>
      <c r="I24" s="35"/>
      <c r="J24" s="35"/>
      <c r="L24" s="46"/>
    </row>
    <row r="25" spans="1:12" ht="12.75" customHeight="1" x14ac:dyDescent="0.2">
      <c r="A25" s="297">
        <f>'PLAN ORÇ'!A146</f>
        <v>9</v>
      </c>
      <c r="B25" s="299" t="str">
        <f>'PLAN ORÇ'!D146</f>
        <v>SISTEMA DE PROTEÇÃO CONTRA DESCARGAS ATMOSFÉRICAS (SPDA)</v>
      </c>
      <c r="C25" s="40" t="e">
        <f>C26/$C$34</f>
        <v>#DIV/0!</v>
      </c>
      <c r="D25" s="40"/>
      <c r="E25" s="40"/>
      <c r="F25" s="40"/>
      <c r="G25" s="40"/>
      <c r="H25" s="40"/>
      <c r="I25" s="40"/>
      <c r="J25" s="40"/>
    </row>
    <row r="26" spans="1:12" x14ac:dyDescent="0.2">
      <c r="A26" s="298"/>
      <c r="B26" s="300"/>
      <c r="C26" s="35">
        <f>'PLAN ORÇ'!$I$146</f>
        <v>0</v>
      </c>
      <c r="D26" s="35"/>
      <c r="E26" s="35"/>
      <c r="F26" s="35"/>
      <c r="G26" s="35"/>
      <c r="H26" s="35"/>
      <c r="I26" s="35"/>
      <c r="J26" s="35"/>
      <c r="L26" s="46"/>
    </row>
    <row r="27" spans="1:12" x14ac:dyDescent="0.2">
      <c r="A27" s="294">
        <f>'PLAN ORÇ'!$A$152</f>
        <v>10</v>
      </c>
      <c r="B27" s="294" t="str">
        <f>'PLAN ORÇ'!$D$152</f>
        <v>INSTALAÇÃO DE REDE ESTRUTURADA</v>
      </c>
      <c r="C27" s="40" t="e">
        <f>C28/$C$34</f>
        <v>#DIV/0!</v>
      </c>
      <c r="D27" s="35"/>
      <c r="E27" s="35"/>
      <c r="F27" s="35"/>
      <c r="G27" s="35"/>
      <c r="H27" s="35"/>
      <c r="I27" s="248"/>
      <c r="J27" s="40"/>
      <c r="L27" s="46"/>
    </row>
    <row r="28" spans="1:12" x14ac:dyDescent="0.2">
      <c r="A28" s="294"/>
      <c r="B28" s="294"/>
      <c r="C28" s="35">
        <f>'PLAN ORÇ'!$I$152</f>
        <v>0</v>
      </c>
      <c r="D28" s="35"/>
      <c r="E28" s="35"/>
      <c r="F28" s="35"/>
      <c r="G28" s="35"/>
      <c r="H28" s="35"/>
      <c r="I28" s="35"/>
      <c r="J28" s="35"/>
      <c r="L28" s="46"/>
    </row>
    <row r="29" spans="1:12" x14ac:dyDescent="0.2">
      <c r="A29" s="294">
        <f>'PLAN ORÇ'!$A$161</f>
        <v>11</v>
      </c>
      <c r="B29" s="294" t="str">
        <f>'PLAN ORÇ'!$D$161</f>
        <v>SISTEMA DE PROTEÇÃO CONTRA INCÊNDIO</v>
      </c>
      <c r="C29" s="40" t="e">
        <f>C30/$C$34</f>
        <v>#DIV/0!</v>
      </c>
      <c r="D29" s="35"/>
      <c r="E29" s="35"/>
      <c r="F29" s="35"/>
      <c r="G29" s="35"/>
      <c r="H29" s="35"/>
      <c r="I29" s="248"/>
      <c r="J29" s="40"/>
      <c r="L29" s="46"/>
    </row>
    <row r="30" spans="1:12" x14ac:dyDescent="0.2">
      <c r="A30" s="294"/>
      <c r="B30" s="294"/>
      <c r="C30" s="35">
        <f>'PLAN ORÇ'!$I$161</f>
        <v>0</v>
      </c>
      <c r="D30" s="35"/>
      <c r="E30" s="35"/>
      <c r="F30" s="35"/>
      <c r="G30" s="35"/>
      <c r="H30" s="35"/>
      <c r="I30" s="35"/>
      <c r="J30" s="35"/>
      <c r="L30" s="46"/>
    </row>
    <row r="31" spans="1:12" x14ac:dyDescent="0.2">
      <c r="A31" s="294">
        <f>'PLAN ORÇ'!$A$169</f>
        <v>12</v>
      </c>
      <c r="B31" s="294" t="str">
        <f>'PLAN ORÇ'!$D$169</f>
        <v>LIMPEZA DE OBRA</v>
      </c>
      <c r="C31" s="40" t="e">
        <f>C32/$C$34</f>
        <v>#DIV/0!</v>
      </c>
      <c r="D31" s="35"/>
      <c r="E31" s="35"/>
      <c r="F31" s="35"/>
      <c r="G31" s="35"/>
      <c r="H31" s="35"/>
      <c r="I31" s="248"/>
      <c r="J31" s="40"/>
      <c r="L31" s="46"/>
    </row>
    <row r="32" spans="1:12" x14ac:dyDescent="0.2">
      <c r="A32" s="294"/>
      <c r="B32" s="294"/>
      <c r="C32" s="35">
        <f>'PLAN ORÇ'!$I$169</f>
        <v>0</v>
      </c>
      <c r="D32" s="35"/>
      <c r="E32" s="35"/>
      <c r="F32" s="35"/>
      <c r="G32" s="35"/>
      <c r="H32" s="35"/>
      <c r="I32" s="35"/>
      <c r="J32" s="35"/>
      <c r="L32" s="46"/>
    </row>
    <row r="33" spans="1:12" x14ac:dyDescent="0.2">
      <c r="A33" s="295" t="s">
        <v>8</v>
      </c>
      <c r="B33" s="295"/>
      <c r="C33" s="89" t="e">
        <f>C11+C13+C15+C17+C19+C21+C23+C25+C9+C27+C29+C31</f>
        <v>#DIV/0!</v>
      </c>
      <c r="D33" s="249"/>
      <c r="E33" s="249"/>
      <c r="F33" s="249"/>
      <c r="G33" s="249"/>
      <c r="H33" s="249"/>
      <c r="I33" s="249"/>
      <c r="J33" s="36"/>
    </row>
    <row r="34" spans="1:12" x14ac:dyDescent="0.2">
      <c r="A34" s="296"/>
      <c r="B34" s="296"/>
      <c r="C34" s="37">
        <f>C12+C14+C16+C18+C20+C22+C26+C24+C32+C30+C28+C10</f>
        <v>0</v>
      </c>
      <c r="D34" s="37"/>
      <c r="E34" s="37"/>
      <c r="F34" s="37"/>
      <c r="G34" s="37"/>
      <c r="H34" s="37"/>
      <c r="I34" s="37"/>
      <c r="J34" s="37"/>
    </row>
    <row r="35" spans="1:12" x14ac:dyDescent="0.2">
      <c r="A35" s="109"/>
      <c r="B35" s="78"/>
      <c r="C35" s="31"/>
      <c r="D35" s="32"/>
      <c r="E35" s="32"/>
      <c r="F35" s="32"/>
      <c r="G35" s="32"/>
      <c r="H35" s="32"/>
      <c r="I35" s="32"/>
      <c r="J35" s="33"/>
    </row>
    <row r="36" spans="1:12" x14ac:dyDescent="0.2">
      <c r="A36" s="109"/>
      <c r="B36" s="78"/>
      <c r="C36" s="31"/>
      <c r="D36" s="32"/>
      <c r="E36" s="32"/>
      <c r="F36" s="32"/>
      <c r="G36" s="32"/>
      <c r="H36" s="32"/>
      <c r="I36" s="32"/>
      <c r="J36" s="33"/>
    </row>
    <row r="37" spans="1:12" x14ac:dyDescent="0.2">
      <c r="A37" s="25"/>
      <c r="B37" s="78"/>
      <c r="C37" s="17"/>
      <c r="D37" s="17"/>
      <c r="E37" s="17"/>
      <c r="F37" s="17"/>
      <c r="G37" s="17"/>
      <c r="H37" s="17"/>
      <c r="I37" s="17"/>
      <c r="J37" s="34"/>
    </row>
    <row r="38" spans="1:12" x14ac:dyDescent="0.2">
      <c r="A38" s="25"/>
      <c r="B38" s="126"/>
      <c r="C38" s="17"/>
      <c r="D38" s="126"/>
      <c r="E38" s="50"/>
      <c r="F38" s="50"/>
      <c r="G38" s="50"/>
      <c r="H38" s="50"/>
      <c r="I38" s="50"/>
      <c r="J38" s="34"/>
      <c r="L38" s="46"/>
    </row>
    <row r="39" spans="1:12" x14ac:dyDescent="0.2">
      <c r="A39" s="25"/>
      <c r="B39" s="62"/>
      <c r="C39" s="17"/>
      <c r="D39" s="91"/>
      <c r="E39" s="110"/>
      <c r="F39" s="110"/>
      <c r="G39" s="110"/>
      <c r="H39" s="110"/>
      <c r="I39" s="110"/>
      <c r="J39" s="34"/>
    </row>
    <row r="40" spans="1:12" x14ac:dyDescent="0.2">
      <c r="A40" s="25"/>
      <c r="B40" s="92"/>
      <c r="C40" s="17"/>
      <c r="D40" s="92"/>
      <c r="E40" s="4"/>
      <c r="F40" s="4"/>
      <c r="G40" s="4"/>
      <c r="H40" s="4"/>
      <c r="I40" s="4"/>
      <c r="J40" s="34"/>
    </row>
    <row r="41" spans="1:12" x14ac:dyDescent="0.2">
      <c r="A41" s="25"/>
      <c r="C41" s="17"/>
      <c r="D41" s="17"/>
      <c r="E41" s="17"/>
      <c r="F41" s="17"/>
      <c r="G41" s="17"/>
      <c r="H41" s="17"/>
      <c r="I41" s="17"/>
      <c r="J41" s="34"/>
    </row>
    <row r="42" spans="1:12" x14ac:dyDescent="0.2">
      <c r="A42" s="25"/>
      <c r="C42" s="17"/>
      <c r="D42" s="17"/>
      <c r="E42" s="17"/>
      <c r="F42" s="17"/>
      <c r="G42" s="17"/>
      <c r="H42" s="17"/>
      <c r="I42" s="17"/>
      <c r="J42" s="34"/>
    </row>
    <row r="43" spans="1:12" x14ac:dyDescent="0.2">
      <c r="A43" s="47"/>
      <c r="B43" s="82"/>
      <c r="C43" s="48"/>
      <c r="D43" s="48"/>
      <c r="E43" s="48"/>
      <c r="F43" s="48"/>
      <c r="G43" s="48"/>
      <c r="H43" s="48"/>
      <c r="I43" s="48"/>
      <c r="J43" s="49"/>
      <c r="L43" s="46"/>
    </row>
    <row r="44" spans="1:12" x14ac:dyDescent="0.2">
      <c r="L44" s="46"/>
    </row>
  </sheetData>
  <mergeCells count="26">
    <mergeCell ref="A3:J3"/>
    <mergeCell ref="A11:A12"/>
    <mergeCell ref="B11:B12"/>
    <mergeCell ref="A9:A10"/>
    <mergeCell ref="B9:B10"/>
    <mergeCell ref="B27:B28"/>
    <mergeCell ref="A29:A30"/>
    <mergeCell ref="A23:A24"/>
    <mergeCell ref="B23:B24"/>
    <mergeCell ref="B29:B30"/>
    <mergeCell ref="A31:A32"/>
    <mergeCell ref="B31:B32"/>
    <mergeCell ref="A33:B34"/>
    <mergeCell ref="A13:A14"/>
    <mergeCell ref="B13:B14"/>
    <mergeCell ref="A15:A16"/>
    <mergeCell ref="B15:B16"/>
    <mergeCell ref="A17:A18"/>
    <mergeCell ref="B17:B18"/>
    <mergeCell ref="A19:A20"/>
    <mergeCell ref="B19:B20"/>
    <mergeCell ref="A21:A22"/>
    <mergeCell ref="B21:B22"/>
    <mergeCell ref="A25:A26"/>
    <mergeCell ref="B25:B26"/>
    <mergeCell ref="A27:A28"/>
  </mergeCells>
  <printOptions horizontalCentered="1"/>
  <pageMargins left="0.78740157480314965" right="0.59055118110236227" top="1.5748031496062993" bottom="0.78740157480314965" header="0.31496062992125984" footer="0.31496062992125984"/>
  <pageSetup paperSize="9" scale="57" orientation="landscape" horizontalDpi="4294967292" verticalDpi="1200" r:id="rId1"/>
  <ignoredErrors>
    <ignoredError sqref="C11"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5</vt:i4>
      </vt:variant>
    </vt:vector>
  </HeadingPairs>
  <TitlesOfParts>
    <vt:vector size="8" baseType="lpstr">
      <vt:lpstr>PLAN ORÇ</vt:lpstr>
      <vt:lpstr>MM CALC</vt:lpstr>
      <vt:lpstr>CRON</vt:lpstr>
      <vt:lpstr>CRON!Area_de_impressao</vt:lpstr>
      <vt:lpstr>'PLAN ORÇ'!Area_de_impressao</vt:lpstr>
      <vt:lpstr>Fonte</vt:lpstr>
      <vt:lpstr>'MM CALC'!Titulos_de_impressao</vt:lpstr>
      <vt:lpstr>'PLAN ORÇ'!Titulos_de_impressao</vt:lpstr>
    </vt:vector>
  </TitlesOfParts>
  <Company>EMPRESARIAL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Nadylla</cp:lastModifiedBy>
  <cp:lastPrinted>2025-09-24T16:54:38Z</cp:lastPrinted>
  <dcterms:created xsi:type="dcterms:W3CDTF">2010-03-02T12:32:19Z</dcterms:created>
  <dcterms:modified xsi:type="dcterms:W3CDTF">2025-11-14T15:50:56Z</dcterms:modified>
</cp:coreProperties>
</file>